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arke11\Desktop\"/>
    </mc:Choice>
  </mc:AlternateContent>
  <bookViews>
    <workbookView xWindow="0" yWindow="0" windowWidth="19200" windowHeight="12180" tabRatio="697"/>
  </bookViews>
  <sheets>
    <sheet name="Assumptions" sheetId="1" r:id="rId1"/>
    <sheet name="Bottom Prep and Capital Cost" sheetId="2" r:id="rId2"/>
    <sheet name="Yearly Enterprise Budget" sheetId="3" r:id="rId3"/>
    <sheet name="Yearly Cash Flow Analysis" sheetId="4" r:id="rId4"/>
    <sheet name="Sensitivity Analysis" sheetId="5" r:id="rId5"/>
  </sheets>
  <definedNames>
    <definedName name="_xlnm.Print_Area" localSheetId="2">'Yearly Enterprise Budget'!$A$1:$H$47</definedName>
  </definedNames>
  <calcPr calcId="152511"/>
</workbook>
</file>

<file path=xl/calcChain.xml><?xml version="1.0" encoding="utf-8"?>
<calcChain xmlns="http://schemas.openxmlformats.org/spreadsheetml/2006/main">
  <c r="D4" i="5" l="1"/>
  <c r="C4" i="5"/>
  <c r="C4" i="4" l="1"/>
  <c r="B11" i="1"/>
  <c r="B14" i="1" s="1"/>
  <c r="H25" i="1"/>
  <c r="H24" i="1"/>
  <c r="H22" i="1" l="1"/>
  <c r="E10" i="2"/>
  <c r="I10" i="2" s="1"/>
  <c r="E11" i="2"/>
  <c r="I11" i="2" s="1"/>
  <c r="E12" i="2"/>
  <c r="I12" i="2" s="1"/>
  <c r="F33" i="3"/>
  <c r="H30" i="1" l="1"/>
  <c r="H29" i="1" s="1"/>
  <c r="E9" i="3" l="1"/>
  <c r="E8" i="3"/>
  <c r="C8" i="3"/>
  <c r="B21" i="1"/>
  <c r="C9" i="3" s="1"/>
  <c r="H26" i="3" l="1"/>
  <c r="H40" i="3"/>
  <c r="H23" i="3"/>
  <c r="H24" i="3"/>
  <c r="H25" i="3"/>
  <c r="H33" i="3"/>
  <c r="F8" i="3"/>
  <c r="F9" i="3"/>
  <c r="F11" i="3" l="1"/>
  <c r="E20" i="2"/>
  <c r="I20" i="2" s="1"/>
  <c r="E21" i="2"/>
  <c r="I21" i="2" s="1"/>
  <c r="E22" i="2"/>
  <c r="I22" i="2" s="1"/>
  <c r="E23" i="2"/>
  <c r="I23" i="2" s="1"/>
  <c r="E24" i="2"/>
  <c r="E25" i="2"/>
  <c r="E26" i="2"/>
  <c r="E27" i="2"/>
  <c r="E28" i="2"/>
  <c r="E19" i="2"/>
  <c r="I19" i="2" s="1"/>
  <c r="E7" i="2"/>
  <c r="I7" i="2" s="1"/>
  <c r="E8" i="2"/>
  <c r="I8" i="2" s="1"/>
  <c r="E13" i="2"/>
  <c r="I13" i="2" s="1"/>
  <c r="E14" i="2"/>
  <c r="E15" i="2"/>
  <c r="E6" i="2"/>
  <c r="I6" i="2" s="1"/>
  <c r="I29" i="2" l="1"/>
  <c r="E29" i="2"/>
  <c r="F22" i="3" l="1"/>
  <c r="H22" i="3" s="1"/>
  <c r="F35" i="3"/>
  <c r="H35" i="3" s="1"/>
  <c r="C17" i="3"/>
  <c r="F19" i="3"/>
  <c r="H19" i="3" s="1"/>
  <c r="C18" i="3"/>
  <c r="E18" i="3"/>
  <c r="F18" i="3" l="1"/>
  <c r="H18" i="3" s="1"/>
  <c r="F37" i="3" l="1"/>
  <c r="H37" i="3" s="1"/>
  <c r="F20" i="3" l="1"/>
  <c r="H20" i="3" s="1"/>
  <c r="E34" i="3"/>
  <c r="E11" i="4"/>
  <c r="D4" i="3"/>
  <c r="C34" i="3"/>
  <c r="C27" i="3"/>
  <c r="E21" i="3"/>
  <c r="E17" i="3"/>
  <c r="E15" i="3"/>
  <c r="D5" i="5"/>
  <c r="C15" i="3" l="1"/>
  <c r="F15" i="3" s="1"/>
  <c r="H15" i="3" s="1"/>
  <c r="G19" i="3"/>
  <c r="G20" i="3"/>
  <c r="G18" i="3"/>
  <c r="F17" i="3"/>
  <c r="H17" i="3" s="1"/>
  <c r="E16" i="4"/>
  <c r="E12" i="4"/>
  <c r="E8" i="4"/>
  <c r="E17" i="4"/>
  <c r="E13" i="4"/>
  <c r="E9" i="4"/>
  <c r="E7" i="4"/>
  <c r="E14" i="4"/>
  <c r="E10" i="4"/>
  <c r="E15" i="4"/>
  <c r="G35" i="3"/>
  <c r="G33" i="3"/>
  <c r="G22" i="3"/>
  <c r="G37" i="3"/>
  <c r="F34" i="3"/>
  <c r="H34" i="3" s="1"/>
  <c r="C21" i="3" l="1"/>
  <c r="F21" i="3" s="1"/>
  <c r="H21" i="3" s="1"/>
  <c r="C5" i="5"/>
  <c r="G17" i="3"/>
  <c r="G34" i="3"/>
  <c r="G15" i="3"/>
  <c r="B11" i="4" l="1"/>
  <c r="E5" i="5"/>
  <c r="C6" i="5"/>
  <c r="E11" i="5" s="1"/>
  <c r="E4" i="5"/>
  <c r="B17" i="4"/>
  <c r="G21" i="3"/>
  <c r="B12" i="4" l="1"/>
  <c r="B14" i="4"/>
  <c r="B13" i="4"/>
  <c r="B16" i="4"/>
  <c r="B8" i="4"/>
  <c r="B10" i="4"/>
  <c r="B15" i="4"/>
  <c r="B7" i="4"/>
  <c r="B9" i="4"/>
  <c r="F4" i="5"/>
  <c r="B16" i="5" s="1"/>
  <c r="B15" i="5" s="1"/>
  <c r="F11" i="5"/>
  <c r="D11" i="5"/>
  <c r="C11" i="5" s="1"/>
  <c r="G26" i="3"/>
  <c r="G25" i="3"/>
  <c r="G24" i="3"/>
  <c r="F27" i="3"/>
  <c r="H27" i="3" s="1"/>
  <c r="G23" i="3"/>
  <c r="B17" i="5" l="1"/>
  <c r="B18" i="5" s="1"/>
  <c r="G11" i="5"/>
  <c r="B14" i="5"/>
  <c r="F28" i="3"/>
  <c r="H28" i="3" s="1"/>
  <c r="G27" i="3"/>
  <c r="B13" i="5" l="1"/>
  <c r="B19" i="5"/>
  <c r="G28" i="3"/>
  <c r="F29" i="3"/>
  <c r="H29" i="3" s="1"/>
  <c r="B12" i="5" l="1"/>
  <c r="B20" i="5"/>
  <c r="G29" i="3"/>
  <c r="H26" i="1"/>
  <c r="H27" i="1"/>
  <c r="H28" i="1" s="1"/>
  <c r="B9" i="2"/>
  <c r="E9" i="2" s="1"/>
  <c r="I9" i="2" s="1"/>
  <c r="I16" i="2" s="1"/>
  <c r="I31" i="2" s="1"/>
  <c r="F38" i="3" s="1"/>
  <c r="H38" i="3" l="1"/>
  <c r="G38" i="3"/>
  <c r="E16" i="2"/>
  <c r="E31" i="2" l="1"/>
  <c r="F3" i="4" s="1"/>
  <c r="C7" i="4" s="1"/>
  <c r="D7" i="4" s="1"/>
  <c r="F36" i="3"/>
  <c r="F39" i="3" l="1"/>
  <c r="H36" i="3"/>
  <c r="G36" i="3"/>
  <c r="H39" i="3" l="1"/>
  <c r="F41" i="3"/>
  <c r="G39" i="3"/>
  <c r="I23" i="3" l="1"/>
  <c r="D15" i="5"/>
  <c r="C17" i="5"/>
  <c r="C12" i="5"/>
  <c r="D17" i="5"/>
  <c r="E18" i="5"/>
  <c r="C15" i="4"/>
  <c r="I29" i="3"/>
  <c r="E14" i="5"/>
  <c r="D18" i="5"/>
  <c r="I34" i="3"/>
  <c r="C11" i="4"/>
  <c r="G15" i="5"/>
  <c r="I37" i="3"/>
  <c r="C13" i="4"/>
  <c r="D13" i="5"/>
  <c r="I16" i="3"/>
  <c r="I27" i="3"/>
  <c r="H41" i="3"/>
  <c r="C48" i="3" s="1"/>
  <c r="C14" i="4"/>
  <c r="C19" i="5"/>
  <c r="I28" i="3"/>
  <c r="G16" i="5"/>
  <c r="F14" i="5"/>
  <c r="I17" i="3"/>
  <c r="C13" i="5"/>
  <c r="D16" i="5"/>
  <c r="D14" i="5"/>
  <c r="F17" i="5"/>
  <c r="F15" i="5"/>
  <c r="E20" i="5"/>
  <c r="I20" i="3"/>
  <c r="E19" i="5"/>
  <c r="F18" i="5"/>
  <c r="G19" i="5"/>
  <c r="G17" i="5"/>
  <c r="F20" i="5"/>
  <c r="I25" i="3"/>
  <c r="C17" i="4"/>
  <c r="I18" i="3"/>
  <c r="E15" i="5"/>
  <c r="C16" i="5"/>
  <c r="F12" i="5"/>
  <c r="F19" i="5"/>
  <c r="I22" i="3"/>
  <c r="D12" i="5"/>
  <c r="C20" i="5"/>
  <c r="C12" i="4"/>
  <c r="I41" i="3"/>
  <c r="G18" i="5"/>
  <c r="F13" i="5"/>
  <c r="C15" i="5"/>
  <c r="C16" i="4"/>
  <c r="D19" i="5"/>
  <c r="C14" i="5"/>
  <c r="E16" i="5"/>
  <c r="F16" i="5"/>
  <c r="F43" i="3"/>
  <c r="G41" i="3"/>
  <c r="C47" i="3" s="1"/>
  <c r="I15" i="3"/>
  <c r="I21" i="3"/>
  <c r="G20" i="5"/>
  <c r="I19" i="3"/>
  <c r="C18" i="5"/>
  <c r="C8" i="4"/>
  <c r="D8" i="4" s="1"/>
  <c r="E12" i="5"/>
  <c r="I24" i="3"/>
  <c r="E13" i="5"/>
  <c r="G12" i="5"/>
  <c r="D20" i="5"/>
  <c r="I35" i="3"/>
  <c r="G14" i="5"/>
  <c r="G13" i="5"/>
  <c r="I26" i="3"/>
  <c r="E17" i="5"/>
  <c r="I33" i="3"/>
  <c r="C9" i="4"/>
  <c r="C10" i="4"/>
  <c r="I38" i="3"/>
  <c r="I36" i="3"/>
  <c r="I39" i="3"/>
  <c r="D48" i="3" l="1"/>
  <c r="D47" i="3"/>
  <c r="D9" i="4"/>
  <c r="D10" i="4" s="1"/>
  <c r="D11" i="4" s="1"/>
  <c r="D12" i="4" s="1"/>
  <c r="D13" i="4" s="1"/>
  <c r="D14" i="4" s="1"/>
  <c r="D15" i="4" s="1"/>
  <c r="D16" i="4" s="1"/>
  <c r="D17" i="4" s="1"/>
  <c r="D20" i="4"/>
</calcChain>
</file>

<file path=xl/comments1.xml><?xml version="1.0" encoding="utf-8"?>
<comments xmlns="http://schemas.openxmlformats.org/spreadsheetml/2006/main">
  <authors>
    <author>AgSurvivor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These costs seem VERY low.  Are these new or used.  Think some research on it.
From Matt- I will look into the costs after the spreadsheet is complete.  I need numbers to make sure it works properly.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Any personal use
From Matt- If there is any personal use, the user would input a percentage less than 100%</t>
        </r>
      </text>
    </comment>
  </commentList>
</comments>
</file>

<file path=xl/sharedStrings.xml><?xml version="1.0" encoding="utf-8"?>
<sst xmlns="http://schemas.openxmlformats.org/spreadsheetml/2006/main" count="204" uniqueCount="148">
  <si>
    <t>Item</t>
  </si>
  <si>
    <t>Salvage Value</t>
  </si>
  <si>
    <t>Refrigeration Unit</t>
  </si>
  <si>
    <t>Shellwasher</t>
  </si>
  <si>
    <t>Sorting Tables</t>
  </si>
  <si>
    <t>Truck</t>
  </si>
  <si>
    <t>Fuel</t>
  </si>
  <si>
    <t>Labor</t>
  </si>
  <si>
    <t>#</t>
  </si>
  <si>
    <t>Total Cost</t>
  </si>
  <si>
    <t>Years Useful Life</t>
  </si>
  <si>
    <t>Yearly Depreciation</t>
  </si>
  <si>
    <t>Enterprise Budget</t>
  </si>
  <si>
    <t>Year prior to harvest will be expenses only.</t>
  </si>
  <si>
    <t>Income</t>
  </si>
  <si>
    <t>Total $</t>
  </si>
  <si>
    <t>Other</t>
  </si>
  <si>
    <t>Variable Cost</t>
  </si>
  <si>
    <t xml:space="preserve">Monitoring </t>
  </si>
  <si>
    <t>Retail Containers</t>
  </si>
  <si>
    <t>Marketing Expenses</t>
  </si>
  <si>
    <t>Overhead</t>
  </si>
  <si>
    <t>Insurance</t>
  </si>
  <si>
    <t>Lease Fees</t>
  </si>
  <si>
    <t>Permit Fees</t>
  </si>
  <si>
    <t>Depreciation</t>
  </si>
  <si>
    <t>Loan Payments</t>
  </si>
  <si>
    <t>Fixed Costs</t>
  </si>
  <si>
    <t>Total Fixed Cost</t>
  </si>
  <si>
    <t>Total Costs</t>
  </si>
  <si>
    <t>Yearly Cash Flow Analysis</t>
  </si>
  <si>
    <t>Year</t>
  </si>
  <si>
    <t>Expenses</t>
  </si>
  <si>
    <t xml:space="preserve">Harvest begins in year </t>
  </si>
  <si>
    <t>Cash Balance</t>
  </si>
  <si>
    <t>10 Year Internal Rate of Return</t>
  </si>
  <si>
    <t>Marketable oysters are harvested in year</t>
  </si>
  <si>
    <t>Desired Annual Production</t>
  </si>
  <si>
    <t>Annual Planting Rate</t>
  </si>
  <si>
    <t>Monitoring Cost</t>
  </si>
  <si>
    <t>Production Assumptions</t>
  </si>
  <si>
    <t>Marketing Assumptions</t>
  </si>
  <si>
    <t>Other Cost Assumptions</t>
  </si>
  <si>
    <t>Calculated Values</t>
  </si>
  <si>
    <t>Barge</t>
  </si>
  <si>
    <t>Yearly Loan Payments</t>
  </si>
  <si>
    <t>Capital Investment Cost</t>
  </si>
  <si>
    <t>Unit</t>
  </si>
  <si>
    <t>Bushel Oyster</t>
  </si>
  <si>
    <t>Single Oysters</t>
  </si>
  <si>
    <t>Projected Harvest (Bushels)</t>
  </si>
  <si>
    <t>Quantity</t>
  </si>
  <si>
    <t>*Yield difference based on survival and/or harvest efficiency  with production costs remaining constant.</t>
  </si>
  <si>
    <t>Break Even Analysis</t>
  </si>
  <si>
    <t>TOTAL</t>
  </si>
  <si>
    <t>Gross Income</t>
  </si>
  <si>
    <t>Total Gross Income</t>
  </si>
  <si>
    <t>Total Variable Costs</t>
  </si>
  <si>
    <t>Effects of Weighted Average Price and Annual Yield* on Pre-tax Income</t>
  </si>
  <si>
    <t>Vessel</t>
  </si>
  <si>
    <t>Front End Loader</t>
  </si>
  <si>
    <t>Required Items</t>
  </si>
  <si>
    <t>Optional Items</t>
  </si>
  <si>
    <t>Required Item Total</t>
  </si>
  <si>
    <t>Optional Item Total</t>
  </si>
  <si>
    <t>Grand Total</t>
  </si>
  <si>
    <t>This sheet shows estimated costs and returns once full harvests begin.</t>
  </si>
  <si>
    <t>Lease Size</t>
  </si>
  <si>
    <t>Acres</t>
  </si>
  <si>
    <t>Number Of Years Until Harvest Size</t>
  </si>
  <si>
    <t>Survival From Planting To Harvest</t>
  </si>
  <si>
    <t>$ Per 1000 Spat</t>
  </si>
  <si>
    <t xml:space="preserve">Average Yearly Fuel Cost </t>
  </si>
  <si>
    <t>Lease Rent</t>
  </si>
  <si>
    <t>$ Per Acre</t>
  </si>
  <si>
    <t>$ Per Hour</t>
  </si>
  <si>
    <t>$ Per Year</t>
  </si>
  <si>
    <t>Yearly Permit Fees</t>
  </si>
  <si>
    <t>Interest On Operating Funds</t>
  </si>
  <si>
    <t>Percentage Of Oysters Sold To Half Shell Market</t>
  </si>
  <si>
    <t>Crop Sold To Half Shell Market</t>
  </si>
  <si>
    <t>Percentage Of Bushels Sold To Other Markets</t>
  </si>
  <si>
    <t>Crop Sold By Bushel To Other Markets</t>
  </si>
  <si>
    <t>Price For Half Shell Market</t>
  </si>
  <si>
    <t>$ Per Oyster</t>
  </si>
  <si>
    <t>Price For Bushel</t>
  </si>
  <si>
    <t>$ Per Bushel</t>
  </si>
  <si>
    <t>Total Number Of Oysters Harvested Per Year</t>
  </si>
  <si>
    <t>Count Box</t>
  </si>
  <si>
    <t>Cost Of Retail Containers</t>
  </si>
  <si>
    <t>Per Container</t>
  </si>
  <si>
    <t>Total Oysters Harvested Per Acre</t>
  </si>
  <si>
    <t>Total Bushels Havested Per Acre</t>
  </si>
  <si>
    <t>Per Year</t>
  </si>
  <si>
    <t xml:space="preserve">Capital Cost And Lease Bottom Revitalization </t>
  </si>
  <si>
    <t>Cost Per Unit</t>
  </si>
  <si>
    <t>Percentage Of Time Devoted To Aquaculture</t>
  </si>
  <si>
    <t>Each</t>
  </si>
  <si>
    <t>Harvest Baskets</t>
  </si>
  <si>
    <t>$ Per Unit</t>
  </si>
  <si>
    <t>Half Shell Market Oysters</t>
  </si>
  <si>
    <t>Bushel Oyster Markets</t>
  </si>
  <si>
    <t>Bushel</t>
  </si>
  <si>
    <t>$ Per Oyster Harvested</t>
  </si>
  <si>
    <t>$ Per Bushel Harvested</t>
  </si>
  <si>
    <t>Percentage Of Total Cost</t>
  </si>
  <si>
    <t>Interest On Operating Loan</t>
  </si>
  <si>
    <t>Income Before Taxes</t>
  </si>
  <si>
    <t>Break Even Cost</t>
  </si>
  <si>
    <t>1000 Spat</t>
  </si>
  <si>
    <t>Boxes</t>
  </si>
  <si>
    <t>Of Above Costs</t>
  </si>
  <si>
    <t>Weighted Average Price Per Bushel</t>
  </si>
  <si>
    <t>Price Per Bushel</t>
  </si>
  <si>
    <t>Percentage Of Sales</t>
  </si>
  <si>
    <t>Annual Production (Bushels)</t>
  </si>
  <si>
    <t>General Labor Rate</t>
  </si>
  <si>
    <t>General Labor Hours Per Week</t>
  </si>
  <si>
    <t>General Labor Weeks Per Year</t>
  </si>
  <si>
    <t>Supervisory Labor Rate</t>
  </si>
  <si>
    <t>Supervisory Labor Hours Per Week</t>
  </si>
  <si>
    <t>Supervisory Labor Weeks Per Year</t>
  </si>
  <si>
    <t>General Labor</t>
  </si>
  <si>
    <t>Supervisory Labor</t>
  </si>
  <si>
    <t>oysters</t>
  </si>
  <si>
    <t>Purchase Price Of Seed</t>
  </si>
  <si>
    <t>Containers per acre</t>
  </si>
  <si>
    <t>Total number of containers</t>
  </si>
  <si>
    <t>Culture Containers</t>
  </si>
  <si>
    <t>Total containers Havested Per Year</t>
  </si>
  <si>
    <t>Repairs (4%)</t>
  </si>
  <si>
    <t>Container Culture Of Oysters</t>
  </si>
  <si>
    <t>Crane/Hoist</t>
  </si>
  <si>
    <t>Required Insurance</t>
  </si>
  <si>
    <t>Optional Insurance (crop, vehicle, etc)</t>
  </si>
  <si>
    <t>Mesh envelopes inside containters</t>
  </si>
  <si>
    <t>Container Anchoring Equipment</t>
  </si>
  <si>
    <t>Powerwasher</t>
  </si>
  <si>
    <t>Total Bushels Havested Per Year</t>
  </si>
  <si>
    <t>Intital Capital Investment</t>
  </si>
  <si>
    <t>each</t>
  </si>
  <si>
    <t>Market Size Oysters Per Container</t>
  </si>
  <si>
    <t>Market Oyster per Bushel</t>
  </si>
  <si>
    <t>Seed Per Acre</t>
  </si>
  <si>
    <t>Total Seed Needed</t>
  </si>
  <si>
    <t>Seed</t>
  </si>
  <si>
    <t>Acres of lease harvested each year</t>
  </si>
  <si>
    <t>Containers Harversted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</si>
</sst>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#,##0.0_);\(#,##0.0\)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 applyBorder="1"/>
    <xf numFmtId="164" fontId="0" fillId="0" borderId="0" xfId="2" applyNumberFormat="1" applyFont="1"/>
    <xf numFmtId="164" fontId="0" fillId="0" borderId="0" xfId="0" applyNumberFormat="1"/>
    <xf numFmtId="44" fontId="0" fillId="0" borderId="0" xfId="0" applyNumberForma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0" fontId="0" fillId="0" borderId="0" xfId="0" applyAlignment="1">
      <alignment wrapText="1"/>
    </xf>
    <xf numFmtId="37" fontId="2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3" fontId="0" fillId="0" borderId="2" xfId="0" applyNumberFormat="1" applyFill="1" applyBorder="1"/>
    <xf numFmtId="9" fontId="0" fillId="3" borderId="2" xfId="3" applyFont="1" applyFill="1" applyBorder="1"/>
    <xf numFmtId="9" fontId="0" fillId="0" borderId="2" xfId="3" applyFont="1" applyBorder="1"/>
    <xf numFmtId="0" fontId="0" fillId="0" borderId="2" xfId="0" applyBorder="1"/>
    <xf numFmtId="3" fontId="0" fillId="0" borderId="2" xfId="0" applyNumberFormat="1" applyBorder="1"/>
    <xf numFmtId="165" fontId="0" fillId="0" borderId="2" xfId="1" applyNumberFormat="1" applyFont="1" applyBorder="1"/>
    <xf numFmtId="44" fontId="0" fillId="3" borderId="2" xfId="2" applyFont="1" applyFill="1" applyBorder="1"/>
    <xf numFmtId="164" fontId="2" fillId="0" borderId="0" xfId="2" applyNumberFormat="1" applyFont="1"/>
    <xf numFmtId="0" fontId="0" fillId="0" borderId="0" xfId="0" applyFill="1"/>
    <xf numFmtId="0" fontId="0" fillId="0" borderId="0" xfId="0" applyBorder="1"/>
    <xf numFmtId="164" fontId="0" fillId="0" borderId="0" xfId="2" applyNumberFormat="1" applyFont="1" applyBorder="1"/>
    <xf numFmtId="164" fontId="0" fillId="3" borderId="2" xfId="2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Alignment="1"/>
    <xf numFmtId="9" fontId="0" fillId="0" borderId="0" xfId="3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3" applyNumberFormat="1" applyFont="1" applyBorder="1" applyAlignment="1">
      <alignment horizontal="center"/>
    </xf>
    <xf numFmtId="44" fontId="0" fillId="0" borderId="1" xfId="2" applyNumberFormat="1" applyFont="1" applyBorder="1" applyAlignment="1"/>
    <xf numFmtId="9" fontId="0" fillId="0" borderId="1" xfId="3" applyFont="1" applyBorder="1" applyAlignment="1"/>
    <xf numFmtId="44" fontId="0" fillId="0" borderId="5" xfId="2" applyNumberFormat="1" applyFont="1" applyBorder="1" applyAlignment="1"/>
    <xf numFmtId="9" fontId="0" fillId="0" borderId="5" xfId="3" applyFont="1" applyBorder="1" applyAlignment="1"/>
    <xf numFmtId="164" fontId="0" fillId="0" borderId="1" xfId="2" applyNumberFormat="1" applyFont="1" applyBorder="1" applyAlignment="1"/>
    <xf numFmtId="164" fontId="0" fillId="0" borderId="8" xfId="2" applyNumberFormat="1" applyFont="1" applyBorder="1" applyAlignment="1"/>
    <xf numFmtId="164" fontId="0" fillId="4" borderId="12" xfId="2" applyNumberFormat="1" applyFont="1" applyFill="1" applyBorder="1"/>
    <xf numFmtId="164" fontId="0" fillId="0" borderId="2" xfId="2" applyNumberFormat="1" applyFont="1" applyBorder="1"/>
    <xf numFmtId="164" fontId="0" fillId="0" borderId="16" xfId="2" applyNumberFormat="1" applyFont="1" applyBorder="1"/>
    <xf numFmtId="164" fontId="0" fillId="0" borderId="18" xfId="2" applyNumberFormat="1" applyFont="1" applyBorder="1"/>
    <xf numFmtId="164" fontId="0" fillId="0" borderId="19" xfId="2" applyNumberFormat="1" applyFont="1" applyBorder="1"/>
    <xf numFmtId="164" fontId="0" fillId="0" borderId="10" xfId="2" applyNumberFormat="1" applyFont="1" applyBorder="1"/>
    <xf numFmtId="164" fontId="0" fillId="0" borderId="20" xfId="2" applyNumberFormat="1" applyFont="1" applyBorder="1"/>
    <xf numFmtId="164" fontId="0" fillId="0" borderId="3" xfId="2" applyNumberFormat="1" applyFont="1" applyBorder="1"/>
    <xf numFmtId="164" fontId="0" fillId="0" borderId="21" xfId="2" applyNumberFormat="1" applyFont="1" applyBorder="1"/>
    <xf numFmtId="0" fontId="0" fillId="0" borderId="25" xfId="0" applyBorder="1" applyAlignment="1">
      <alignment vertical="center" textRotation="90" wrapText="1"/>
    </xf>
    <xf numFmtId="165" fontId="0" fillId="0" borderId="2" xfId="1" applyNumberFormat="1" applyFont="1" applyFill="1" applyBorder="1" applyAlignment="1">
      <alignment horizontal="right"/>
    </xf>
    <xf numFmtId="0" fontId="2" fillId="0" borderId="4" xfId="0" applyFont="1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9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5" xfId="0" applyFill="1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44" fontId="0" fillId="0" borderId="1" xfId="0" applyNumberFormat="1" applyBorder="1" applyAlignment="1">
      <alignment horizontal="center"/>
    </xf>
    <xf numFmtId="44" fontId="0" fillId="0" borderId="8" xfId="0" applyNumberFormat="1" applyBorder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/>
    <xf numFmtId="10" fontId="2" fillId="0" borderId="0" xfId="0" applyNumberFormat="1" applyFont="1"/>
    <xf numFmtId="0" fontId="2" fillId="0" borderId="11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9" fontId="2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9" fontId="2" fillId="0" borderId="4" xfId="3" applyFont="1" applyBorder="1" applyAlignment="1">
      <alignment horizontal="center"/>
    </xf>
    <xf numFmtId="9" fontId="2" fillId="0" borderId="7" xfId="3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44" fontId="0" fillId="0" borderId="2" xfId="0" applyNumberFormat="1" applyBorder="1"/>
    <xf numFmtId="164" fontId="2" fillId="0" borderId="2" xfId="2" applyNumberFormat="1" applyFont="1" applyBorder="1"/>
    <xf numFmtId="0" fontId="2" fillId="0" borderId="26" xfId="0" applyFont="1" applyBorder="1"/>
    <xf numFmtId="0" fontId="0" fillId="0" borderId="27" xfId="0" applyBorder="1"/>
    <xf numFmtId="0" fontId="0" fillId="0" borderId="27" xfId="0" applyBorder="1" applyAlignment="1">
      <alignment horizontal="center"/>
    </xf>
    <xf numFmtId="164" fontId="0" fillId="0" borderId="28" xfId="2" applyNumberFormat="1" applyFont="1" applyBorder="1"/>
    <xf numFmtId="0" fontId="0" fillId="0" borderId="29" xfId="0" applyBorder="1"/>
    <xf numFmtId="0" fontId="2" fillId="0" borderId="30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164" fontId="2" fillId="0" borderId="19" xfId="2" applyNumberFormat="1" applyFont="1" applyBorder="1"/>
    <xf numFmtId="0" fontId="8" fillId="0" borderId="2" xfId="0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44" fontId="0" fillId="0" borderId="2" xfId="2" applyFont="1" applyBorder="1"/>
    <xf numFmtId="166" fontId="0" fillId="0" borderId="2" xfId="0" applyNumberFormat="1" applyBorder="1"/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2" xfId="2" applyFont="1" applyFill="1" applyBorder="1"/>
    <xf numFmtId="165" fontId="0" fillId="0" borderId="2" xfId="1" applyNumberFormat="1" applyFont="1" applyBorder="1" applyAlignment="1"/>
    <xf numFmtId="164" fontId="0" fillId="0" borderId="2" xfId="2" applyNumberFormat="1" applyFont="1" applyFill="1" applyBorder="1"/>
    <xf numFmtId="9" fontId="0" fillId="0" borderId="2" xfId="3" applyFont="1" applyFill="1" applyBorder="1" applyAlignment="1">
      <alignment horizontal="center"/>
    </xf>
    <xf numFmtId="164" fontId="0" fillId="2" borderId="2" xfId="2" applyNumberFormat="1" applyFont="1" applyFill="1" applyBorder="1"/>
    <xf numFmtId="0" fontId="2" fillId="0" borderId="27" xfId="0" applyFont="1" applyBorder="1"/>
    <xf numFmtId="164" fontId="0" fillId="0" borderId="27" xfId="2" applyNumberFormat="1" applyFont="1" applyBorder="1"/>
    <xf numFmtId="0" fontId="0" fillId="0" borderId="28" xfId="0" applyBorder="1" applyAlignment="1">
      <alignment horizontal="center"/>
    </xf>
    <xf numFmtId="9" fontId="0" fillId="0" borderId="16" xfId="3" applyFont="1" applyBorder="1" applyAlignment="1">
      <alignment horizontal="center"/>
    </xf>
    <xf numFmtId="0" fontId="2" fillId="0" borderId="29" xfId="0" applyFont="1" applyBorder="1"/>
    <xf numFmtId="9" fontId="2" fillId="0" borderId="16" xfId="3" applyFont="1" applyBorder="1" applyAlignment="1">
      <alignment horizontal="center"/>
    </xf>
    <xf numFmtId="164" fontId="2" fillId="0" borderId="18" xfId="2" applyNumberFormat="1" applyFont="1" applyBorder="1"/>
    <xf numFmtId="9" fontId="0" fillId="0" borderId="19" xfId="3" applyFont="1" applyBorder="1" applyAlignment="1">
      <alignment horizontal="center"/>
    </xf>
    <xf numFmtId="0" fontId="0" fillId="0" borderId="31" xfId="0" applyBorder="1"/>
    <xf numFmtId="0" fontId="0" fillId="0" borderId="21" xfId="0" applyBorder="1"/>
    <xf numFmtId="3" fontId="0" fillId="0" borderId="21" xfId="0" applyNumberFormat="1" applyBorder="1" applyAlignment="1">
      <alignment horizontal="center"/>
    </xf>
    <xf numFmtId="44" fontId="0" fillId="0" borderId="21" xfId="2" applyFont="1" applyBorder="1"/>
    <xf numFmtId="166" fontId="0" fillId="0" borderId="21" xfId="0" applyNumberFormat="1" applyBorder="1"/>
    <xf numFmtId="9" fontId="0" fillId="0" borderId="32" xfId="3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164" fontId="8" fillId="0" borderId="18" xfId="2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5" fontId="0" fillId="0" borderId="21" xfId="1" applyNumberFormat="1" applyFont="1" applyBorder="1" applyAlignment="1">
      <alignment horizontal="center"/>
    </xf>
    <xf numFmtId="164" fontId="0" fillId="0" borderId="32" xfId="2" applyNumberFormat="1" applyFont="1" applyBorder="1"/>
    <xf numFmtId="0" fontId="8" fillId="0" borderId="30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8" xfId="0" applyFont="1" applyBorder="1" applyAlignment="1">
      <alignment horizontal="right"/>
    </xf>
    <xf numFmtId="167" fontId="0" fillId="0" borderId="2" xfId="0" applyNumberFormat="1" applyBorder="1"/>
    <xf numFmtId="167" fontId="0" fillId="0" borderId="18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9" xfId="0" applyNumberFormat="1" applyBorder="1"/>
    <xf numFmtId="39" fontId="0" fillId="3" borderId="2" xfId="2" applyNumberFormat="1" applyFont="1" applyFill="1" applyBorder="1"/>
    <xf numFmtId="168" fontId="0" fillId="3" borderId="2" xfId="2" applyNumberFormat="1" applyFont="1" applyFill="1" applyBorder="1"/>
    <xf numFmtId="166" fontId="0" fillId="0" borderId="18" xfId="0" applyNumberForma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9" fontId="0" fillId="2" borderId="2" xfId="3" applyFont="1" applyFill="1" applyBorder="1"/>
    <xf numFmtId="0" fontId="0" fillId="0" borderId="2" xfId="0" applyFill="1" applyBorder="1"/>
    <xf numFmtId="0" fontId="2" fillId="0" borderId="6" xfId="0" applyFont="1" applyBorder="1" applyAlignment="1">
      <alignment horizontal="center" vertical="top" wrapText="1"/>
    </xf>
    <xf numFmtId="1" fontId="0" fillId="0" borderId="2" xfId="0" applyNumberFormat="1" applyFill="1" applyBorder="1"/>
    <xf numFmtId="0" fontId="0" fillId="0" borderId="11" xfId="0" applyFill="1" applyBorder="1"/>
    <xf numFmtId="43" fontId="0" fillId="0" borderId="2" xfId="1" applyNumberFormat="1" applyFont="1" applyBorder="1"/>
    <xf numFmtId="1" fontId="2" fillId="0" borderId="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20" xfId="0" applyNumberFormat="1" applyFont="1" applyBorder="1"/>
    <xf numFmtId="164" fontId="2" fillId="0" borderId="24" xfId="0" applyNumberFormat="1" applyFont="1" applyBorder="1"/>
    <xf numFmtId="169" fontId="0" fillId="0" borderId="1" xfId="3" applyNumberFormat="1" applyFont="1" applyBorder="1" applyAlignment="1">
      <alignment horizontal="center"/>
    </xf>
    <xf numFmtId="169" fontId="2" fillId="0" borderId="1" xfId="3" applyNumberFormat="1" applyFont="1" applyBorder="1" applyAlignment="1">
      <alignment horizontal="center"/>
    </xf>
    <xf numFmtId="1" fontId="0" fillId="3" borderId="2" xfId="3" applyNumberFormat="1" applyFont="1" applyFill="1" applyBorder="1"/>
    <xf numFmtId="1" fontId="0" fillId="0" borderId="2" xfId="0" applyNumberFormat="1" applyBorder="1"/>
    <xf numFmtId="0" fontId="8" fillId="0" borderId="3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4" fontId="0" fillId="0" borderId="6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6" fillId="0" borderId="0" xfId="3" applyFont="1" applyBorder="1" applyAlignment="1">
      <alignment horizontal="center"/>
    </xf>
    <xf numFmtId="9" fontId="2" fillId="0" borderId="2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9" fontId="2" fillId="0" borderId="14" xfId="3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9" fontId="0" fillId="0" borderId="23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1" fontId="0" fillId="0" borderId="5" xfId="3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'Yearly Cash Flow Analysis'!$D$6</c:f>
              <c:strCache>
                <c:ptCount val="1"/>
                <c:pt idx="0">
                  <c:v>Cash Balance</c:v>
                </c:pt>
              </c:strCache>
            </c:strRef>
          </c:tx>
          <c:invertIfNegative val="0"/>
          <c:cat>
            <c:numRef>
              <c:f>'Yearly Cash Flow Analysis'!$A$7:$A$17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'Yearly Cash Flow Analysis'!$D$7:$D$17</c:f>
              <c:numCache>
                <c:formatCode>_("$"* #,##0_);_("$"* \(#,##0\);_("$"* "-"??_);_(@_)</c:formatCode>
                <c:ptCount val="11"/>
                <c:pt idx="0">
                  <c:v>-723500</c:v>
                </c:pt>
                <c:pt idx="1">
                  <c:v>-1002392.6333333333</c:v>
                </c:pt>
                <c:pt idx="2">
                  <c:v>-731285.2666666666</c:v>
                </c:pt>
                <c:pt idx="3">
                  <c:v>-460177.89999999991</c:v>
                </c:pt>
                <c:pt idx="4">
                  <c:v>-189070.53333333321</c:v>
                </c:pt>
                <c:pt idx="5">
                  <c:v>82036.833333333489</c:v>
                </c:pt>
                <c:pt idx="6">
                  <c:v>353144.20000000019</c:v>
                </c:pt>
                <c:pt idx="7">
                  <c:v>624251.56666666688</c:v>
                </c:pt>
                <c:pt idx="8">
                  <c:v>895358.93333333358</c:v>
                </c:pt>
                <c:pt idx="9">
                  <c:v>1166466.3000000003</c:v>
                </c:pt>
                <c:pt idx="10">
                  <c:v>1437573.666666667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15056"/>
        <c:axId val="139916624"/>
      </c:barChart>
      <c:catAx>
        <c:axId val="13991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16624"/>
        <c:crosses val="autoZero"/>
        <c:auto val="1"/>
        <c:lblAlgn val="ctr"/>
        <c:lblOffset val="100"/>
        <c:noMultiLvlLbl val="0"/>
      </c:catAx>
      <c:valAx>
        <c:axId val="13991662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3991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152399</xdr:rowOff>
    </xdr:from>
    <xdr:to>
      <xdr:col>13</xdr:col>
      <xdr:colOff>523875</xdr:colOff>
      <xdr:row>22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43"/>
  <sheetViews>
    <sheetView tabSelected="1" topLeftCell="A5" workbookViewId="0">
      <selection activeCell="H9" sqref="H9"/>
    </sheetView>
  </sheetViews>
  <sheetFormatPr defaultRowHeight="15" x14ac:dyDescent="0.25"/>
  <cols>
    <col min="1" max="1" width="43" customWidth="1"/>
    <col min="2" max="2" width="11.5703125" bestFit="1" customWidth="1"/>
    <col min="3" max="3" width="32.7109375" style="8" customWidth="1"/>
    <col min="4" max="4" width="3.42578125" customWidth="1"/>
    <col min="5" max="6" width="3" customWidth="1"/>
    <col min="7" max="7" width="40.140625" bestFit="1" customWidth="1"/>
    <col min="8" max="8" width="11.5703125" customWidth="1"/>
    <col min="9" max="9" width="13.42578125" customWidth="1"/>
    <col min="11" max="11" width="9" customWidth="1"/>
  </cols>
  <sheetData>
    <row r="1" spans="1:11" ht="23.25" x14ac:dyDescent="0.35">
      <c r="A1" s="63" t="s">
        <v>131</v>
      </c>
    </row>
    <row r="2" spans="1:11" ht="23.25" x14ac:dyDescent="0.35">
      <c r="A2" s="63"/>
    </row>
    <row r="3" spans="1:11" ht="23.25" x14ac:dyDescent="0.35">
      <c r="A3" s="63"/>
    </row>
    <row r="4" spans="1:11" ht="23.25" x14ac:dyDescent="0.35">
      <c r="A4" s="63"/>
    </row>
    <row r="6" spans="1:11" x14ac:dyDescent="0.25">
      <c r="A6" s="50" t="s">
        <v>40</v>
      </c>
      <c r="B6" s="51"/>
      <c r="C6" s="52"/>
      <c r="G6" s="50" t="s">
        <v>42</v>
      </c>
      <c r="H6" s="51"/>
      <c r="I6" s="58"/>
    </row>
    <row r="7" spans="1:11" x14ac:dyDescent="0.25">
      <c r="A7" s="53" t="s">
        <v>37</v>
      </c>
      <c r="B7" s="11">
        <v>1000000</v>
      </c>
      <c r="C7" s="54" t="s">
        <v>124</v>
      </c>
      <c r="G7" s="53" t="s">
        <v>73</v>
      </c>
      <c r="H7" s="19">
        <v>25</v>
      </c>
      <c r="I7" s="59" t="s">
        <v>74</v>
      </c>
    </row>
    <row r="8" spans="1:11" x14ac:dyDescent="0.25">
      <c r="A8" s="53" t="s">
        <v>141</v>
      </c>
      <c r="B8" s="12">
        <v>500</v>
      </c>
      <c r="C8" s="54" t="s">
        <v>8</v>
      </c>
      <c r="G8" s="53" t="s">
        <v>116</v>
      </c>
      <c r="H8" s="19">
        <v>10</v>
      </c>
      <c r="I8" s="59" t="s">
        <v>75</v>
      </c>
    </row>
    <row r="9" spans="1:11" x14ac:dyDescent="0.25">
      <c r="A9" s="53" t="s">
        <v>142</v>
      </c>
      <c r="B9" s="12">
        <v>275</v>
      </c>
      <c r="C9" s="54"/>
      <c r="G9" s="53" t="s">
        <v>117</v>
      </c>
      <c r="H9" s="131">
        <v>80</v>
      </c>
      <c r="I9" s="59"/>
      <c r="K9" s="25"/>
    </row>
    <row r="10" spans="1:11" x14ac:dyDescent="0.25">
      <c r="A10" s="53" t="s">
        <v>67</v>
      </c>
      <c r="B10" s="12">
        <v>10</v>
      </c>
      <c r="C10" s="54" t="s">
        <v>68</v>
      </c>
      <c r="G10" s="53" t="s">
        <v>118</v>
      </c>
      <c r="H10" s="131">
        <v>52</v>
      </c>
      <c r="I10" s="59"/>
      <c r="K10" s="25"/>
    </row>
    <row r="11" spans="1:11" x14ac:dyDescent="0.25">
      <c r="A11" s="53" t="s">
        <v>126</v>
      </c>
      <c r="B11" s="141">
        <f>B7/B12/B8</f>
        <v>666.66666666666663</v>
      </c>
      <c r="C11" s="54"/>
      <c r="D11" s="21"/>
      <c r="E11" s="21"/>
      <c r="F11" s="26"/>
      <c r="G11" s="53" t="s">
        <v>119</v>
      </c>
      <c r="H11" s="19">
        <v>15</v>
      </c>
      <c r="I11" s="59" t="s">
        <v>75</v>
      </c>
    </row>
    <row r="12" spans="1:11" x14ac:dyDescent="0.25">
      <c r="A12" s="142" t="s">
        <v>146</v>
      </c>
      <c r="B12" s="150">
        <v>3</v>
      </c>
      <c r="C12" s="54"/>
      <c r="G12" s="53" t="s">
        <v>120</v>
      </c>
      <c r="H12" s="130">
        <v>40</v>
      </c>
      <c r="I12" s="59"/>
    </row>
    <row r="13" spans="1:11" x14ac:dyDescent="0.25">
      <c r="A13" s="53" t="s">
        <v>69</v>
      </c>
      <c r="B13" s="12">
        <v>2</v>
      </c>
      <c r="C13" s="54"/>
      <c r="G13" s="53" t="s">
        <v>121</v>
      </c>
      <c r="H13" s="130">
        <v>52</v>
      </c>
      <c r="I13" s="59"/>
    </row>
    <row r="14" spans="1:11" x14ac:dyDescent="0.25">
      <c r="A14" s="53" t="s">
        <v>147</v>
      </c>
      <c r="B14" s="141">
        <f>ROUNDUP(B11,0)*B12</f>
        <v>2001</v>
      </c>
      <c r="C14" s="54"/>
      <c r="G14" s="53" t="s">
        <v>39</v>
      </c>
      <c r="H14" s="19">
        <v>2000</v>
      </c>
      <c r="I14" s="59" t="s">
        <v>76</v>
      </c>
    </row>
    <row r="15" spans="1:11" x14ac:dyDescent="0.25">
      <c r="A15" s="53" t="s">
        <v>70</v>
      </c>
      <c r="B15" s="14">
        <v>0.75</v>
      </c>
      <c r="C15" s="54"/>
      <c r="G15" s="53" t="s">
        <v>133</v>
      </c>
      <c r="H15" s="19">
        <v>1000</v>
      </c>
      <c r="I15" s="59" t="s">
        <v>76</v>
      </c>
    </row>
    <row r="16" spans="1:11" x14ac:dyDescent="0.25">
      <c r="A16" s="53" t="s">
        <v>125</v>
      </c>
      <c r="B16" s="19">
        <v>9.5</v>
      </c>
      <c r="C16" s="54" t="s">
        <v>71</v>
      </c>
      <c r="G16" s="53" t="s">
        <v>134</v>
      </c>
      <c r="H16" s="19">
        <v>1000</v>
      </c>
      <c r="I16" s="59" t="s">
        <v>76</v>
      </c>
    </row>
    <row r="17" spans="1:9" x14ac:dyDescent="0.25">
      <c r="A17" s="55" t="s">
        <v>72</v>
      </c>
      <c r="B17" s="19">
        <v>5000</v>
      </c>
      <c r="C17" s="56"/>
      <c r="G17" s="53" t="s">
        <v>77</v>
      </c>
      <c r="H17" s="24">
        <v>1000</v>
      </c>
      <c r="I17" s="59"/>
    </row>
    <row r="18" spans="1:9" x14ac:dyDescent="0.25">
      <c r="B18" s="1"/>
      <c r="G18" s="53" t="s">
        <v>21</v>
      </c>
      <c r="H18" s="14">
        <v>0.05</v>
      </c>
      <c r="I18" s="59"/>
    </row>
    <row r="19" spans="1:9" x14ac:dyDescent="0.25">
      <c r="A19" s="50" t="s">
        <v>41</v>
      </c>
      <c r="B19" s="57"/>
      <c r="C19" s="52"/>
      <c r="G19" s="53" t="s">
        <v>78</v>
      </c>
      <c r="H19" s="14">
        <v>7.0000000000000007E-2</v>
      </c>
      <c r="I19" s="59"/>
    </row>
    <row r="20" spans="1:9" x14ac:dyDescent="0.25">
      <c r="A20" s="53" t="s">
        <v>79</v>
      </c>
      <c r="B20" s="14">
        <v>1</v>
      </c>
      <c r="C20" s="54" t="s">
        <v>80</v>
      </c>
      <c r="G20" s="55" t="s">
        <v>45</v>
      </c>
      <c r="H20" s="24">
        <v>2300</v>
      </c>
      <c r="I20" s="60"/>
    </row>
    <row r="21" spans="1:9" ht="30" x14ac:dyDescent="0.25">
      <c r="A21" s="53" t="s">
        <v>81</v>
      </c>
      <c r="B21" s="15">
        <f>1-B20</f>
        <v>0</v>
      </c>
      <c r="C21" s="54" t="s">
        <v>82</v>
      </c>
      <c r="G21" s="50" t="s">
        <v>43</v>
      </c>
      <c r="H21" s="51"/>
      <c r="I21" s="58"/>
    </row>
    <row r="22" spans="1:9" x14ac:dyDescent="0.25">
      <c r="A22" s="53" t="s">
        <v>83</v>
      </c>
      <c r="B22" s="19">
        <v>0.55000000000000004</v>
      </c>
      <c r="C22" s="54" t="s">
        <v>84</v>
      </c>
      <c r="G22" s="53" t="s">
        <v>127</v>
      </c>
      <c r="H22" s="151">
        <f>B11*B10</f>
        <v>6666.6666666666661</v>
      </c>
      <c r="I22" s="59"/>
    </row>
    <row r="23" spans="1:9" x14ac:dyDescent="0.25">
      <c r="A23" s="53" t="s">
        <v>85</v>
      </c>
      <c r="B23" s="19">
        <v>55</v>
      </c>
      <c r="C23" s="54" t="s">
        <v>86</v>
      </c>
      <c r="G23" s="53"/>
      <c r="H23" s="16"/>
      <c r="I23" s="59"/>
    </row>
    <row r="24" spans="1:9" x14ac:dyDescent="0.25">
      <c r="A24" s="53" t="s">
        <v>19</v>
      </c>
      <c r="B24" s="12">
        <v>100</v>
      </c>
      <c r="C24" s="54" t="s">
        <v>88</v>
      </c>
      <c r="G24" s="53" t="s">
        <v>87</v>
      </c>
      <c r="H24" s="13">
        <f>B7</f>
        <v>1000000</v>
      </c>
      <c r="I24" s="59"/>
    </row>
    <row r="25" spans="1:9" ht="15" customHeight="1" x14ac:dyDescent="0.25">
      <c r="A25" s="53" t="s">
        <v>89</v>
      </c>
      <c r="B25" s="19">
        <v>1</v>
      </c>
      <c r="C25" s="54" t="s">
        <v>90</v>
      </c>
      <c r="G25" s="53" t="s">
        <v>138</v>
      </c>
      <c r="H25" s="13">
        <f>H24/B9</f>
        <v>3636.3636363636365</v>
      </c>
      <c r="I25" s="59"/>
    </row>
    <row r="26" spans="1:9" x14ac:dyDescent="0.25">
      <c r="A26" s="55" t="s">
        <v>20</v>
      </c>
      <c r="B26" s="19">
        <v>10000</v>
      </c>
      <c r="C26" s="56" t="s">
        <v>76</v>
      </c>
      <c r="G26" s="53" t="s">
        <v>129</v>
      </c>
      <c r="H26" s="13">
        <f>B14</f>
        <v>2001</v>
      </c>
      <c r="I26" s="59"/>
    </row>
    <row r="27" spans="1:9" x14ac:dyDescent="0.25">
      <c r="G27" s="53" t="s">
        <v>91</v>
      </c>
      <c r="H27" s="18">
        <f>B11*B8</f>
        <v>333333.33333333331</v>
      </c>
      <c r="I27" s="59"/>
    </row>
    <row r="28" spans="1:9" x14ac:dyDescent="0.25">
      <c r="G28" s="53" t="s">
        <v>92</v>
      </c>
      <c r="H28" s="143">
        <f>H27/B9</f>
        <v>1212.121212121212</v>
      </c>
      <c r="I28" s="59"/>
    </row>
    <row r="29" spans="1:9" x14ac:dyDescent="0.25">
      <c r="G29" s="53" t="s">
        <v>38</v>
      </c>
      <c r="H29" s="49">
        <f>H30/(B10*B12)</f>
        <v>44444.444444444445</v>
      </c>
      <c r="I29" s="59" t="s">
        <v>143</v>
      </c>
    </row>
    <row r="30" spans="1:9" x14ac:dyDescent="0.25">
      <c r="G30" s="53" t="s">
        <v>144</v>
      </c>
      <c r="H30" s="17">
        <f>B7/B15</f>
        <v>1333333.3333333333</v>
      </c>
      <c r="I30" s="59" t="s">
        <v>93</v>
      </c>
    </row>
    <row r="31" spans="1:9" x14ac:dyDescent="0.25">
      <c r="G31" s="55"/>
      <c r="H31" s="18"/>
      <c r="I31" s="60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  <row r="41" spans="2:2" x14ac:dyDescent="0.25">
      <c r="B41" s="22"/>
    </row>
    <row r="42" spans="2:2" x14ac:dyDescent="0.25">
      <c r="B42" s="1"/>
    </row>
    <row r="43" spans="2:2" x14ac:dyDescent="0.25">
      <c r="B43" s="22"/>
    </row>
  </sheetData>
  <printOptions headings="1" gridLine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31"/>
  <sheetViews>
    <sheetView topLeftCell="A4" workbookViewId="0">
      <selection activeCell="I11" sqref="I11"/>
    </sheetView>
  </sheetViews>
  <sheetFormatPr defaultRowHeight="15" x14ac:dyDescent="0.25"/>
  <cols>
    <col min="1" max="1" width="32" customWidth="1"/>
    <col min="2" max="3" width="8.5703125" customWidth="1"/>
    <col min="4" max="4" width="11.5703125" bestFit="1" customWidth="1"/>
    <col min="5" max="5" width="12.28515625" bestFit="1" customWidth="1"/>
    <col min="6" max="6" width="15.7109375" bestFit="1" customWidth="1"/>
    <col min="7" max="7" width="12.85546875" customWidth="1"/>
    <col min="8" max="8" width="14.42578125" customWidth="1"/>
    <col min="9" max="9" width="13.42578125" bestFit="1" customWidth="1"/>
  </cols>
  <sheetData>
    <row r="1" spans="1:9" x14ac:dyDescent="0.25">
      <c r="A1" t="s">
        <v>94</v>
      </c>
    </row>
    <row r="4" spans="1:9" ht="18.75" x14ac:dyDescent="0.3">
      <c r="A4" s="64" t="s">
        <v>46</v>
      </c>
    </row>
    <row r="5" spans="1:9" s="65" customFormat="1" ht="60" x14ac:dyDescent="0.25">
      <c r="A5" s="133" t="s">
        <v>61</v>
      </c>
      <c r="B5" s="133" t="s">
        <v>51</v>
      </c>
      <c r="C5" s="134" t="s">
        <v>47</v>
      </c>
      <c r="D5" s="134" t="s">
        <v>95</v>
      </c>
      <c r="E5" s="134" t="s">
        <v>9</v>
      </c>
      <c r="F5" s="134" t="s">
        <v>10</v>
      </c>
      <c r="G5" s="134" t="s">
        <v>1</v>
      </c>
      <c r="H5" s="134" t="s">
        <v>96</v>
      </c>
      <c r="I5" s="134" t="s">
        <v>11</v>
      </c>
    </row>
    <row r="6" spans="1:9" x14ac:dyDescent="0.25">
      <c r="A6" s="16" t="s">
        <v>59</v>
      </c>
      <c r="B6" s="135">
        <v>1</v>
      </c>
      <c r="C6" s="136" t="s">
        <v>97</v>
      </c>
      <c r="D6" s="99">
        <v>10000</v>
      </c>
      <c r="E6" s="40">
        <f>B6*D6</f>
        <v>10000</v>
      </c>
      <c r="F6" s="137">
        <v>12</v>
      </c>
      <c r="G6" s="137">
        <v>0</v>
      </c>
      <c r="H6" s="138">
        <v>1</v>
      </c>
      <c r="I6" s="40">
        <f>((E6-G6)/F6)*H6</f>
        <v>833.33333333333337</v>
      </c>
    </row>
    <row r="7" spans="1:9" x14ac:dyDescent="0.25">
      <c r="A7" s="16" t="s">
        <v>98</v>
      </c>
      <c r="B7" s="135">
        <v>45</v>
      </c>
      <c r="C7" s="136" t="s">
        <v>97</v>
      </c>
      <c r="D7" s="99">
        <v>20</v>
      </c>
      <c r="E7" s="40">
        <f t="shared" ref="E7:E15" si="0">B7*D7</f>
        <v>900</v>
      </c>
      <c r="F7" s="137">
        <v>3</v>
      </c>
      <c r="G7" s="137">
        <v>0</v>
      </c>
      <c r="H7" s="138">
        <v>1</v>
      </c>
      <c r="I7" s="40">
        <f t="shared" ref="I7:I13" si="1">((E7-G7)/F7)*H7</f>
        <v>300</v>
      </c>
    </row>
    <row r="8" spans="1:9" x14ac:dyDescent="0.25">
      <c r="A8" s="16" t="s">
        <v>5</v>
      </c>
      <c r="B8" s="135">
        <v>1</v>
      </c>
      <c r="C8" s="136" t="s">
        <v>97</v>
      </c>
      <c r="D8" s="99">
        <v>15000</v>
      </c>
      <c r="E8" s="40">
        <f t="shared" si="0"/>
        <v>15000</v>
      </c>
      <c r="F8" s="137">
        <v>12</v>
      </c>
      <c r="G8" s="137">
        <v>0</v>
      </c>
      <c r="H8" s="138">
        <v>1</v>
      </c>
      <c r="I8" s="40">
        <f t="shared" si="1"/>
        <v>1250</v>
      </c>
    </row>
    <row r="9" spans="1:9" x14ac:dyDescent="0.25">
      <c r="A9" s="16" t="s">
        <v>128</v>
      </c>
      <c r="B9" s="135">
        <f>Assumptions!H22</f>
        <v>6666.6666666666661</v>
      </c>
      <c r="C9" s="136" t="s">
        <v>97</v>
      </c>
      <c r="D9" s="99">
        <v>60</v>
      </c>
      <c r="E9" s="40">
        <f t="shared" si="0"/>
        <v>399999.99999999994</v>
      </c>
      <c r="F9" s="137">
        <v>7</v>
      </c>
      <c r="G9" s="137">
        <v>0</v>
      </c>
      <c r="H9" s="138">
        <v>1</v>
      </c>
      <c r="I9" s="40">
        <f t="shared" si="1"/>
        <v>57142.857142857138</v>
      </c>
    </row>
    <row r="10" spans="1:9" x14ac:dyDescent="0.25">
      <c r="A10" s="16" t="s">
        <v>135</v>
      </c>
      <c r="B10" s="135">
        <v>8000</v>
      </c>
      <c r="C10" s="136" t="s">
        <v>140</v>
      </c>
      <c r="D10" s="99">
        <v>20</v>
      </c>
      <c r="E10" s="40">
        <f t="shared" si="0"/>
        <v>160000</v>
      </c>
      <c r="F10" s="137">
        <v>4</v>
      </c>
      <c r="G10" s="137">
        <v>0</v>
      </c>
      <c r="H10" s="138">
        <v>1</v>
      </c>
      <c r="I10" s="40">
        <f t="shared" si="1"/>
        <v>40000</v>
      </c>
    </row>
    <row r="11" spans="1:9" x14ac:dyDescent="0.25">
      <c r="A11" s="16" t="s">
        <v>136</v>
      </c>
      <c r="B11" s="135">
        <v>500</v>
      </c>
      <c r="C11" s="136" t="s">
        <v>140</v>
      </c>
      <c r="D11" s="99">
        <v>250</v>
      </c>
      <c r="E11" s="40">
        <f t="shared" si="0"/>
        <v>125000</v>
      </c>
      <c r="F11" s="137">
        <v>7</v>
      </c>
      <c r="G11" s="137">
        <v>0</v>
      </c>
      <c r="H11" s="138">
        <v>1</v>
      </c>
      <c r="I11" s="40">
        <f t="shared" si="1"/>
        <v>17857.142857142859</v>
      </c>
    </row>
    <row r="12" spans="1:9" x14ac:dyDescent="0.25">
      <c r="A12" s="16" t="s">
        <v>137</v>
      </c>
      <c r="B12" s="135">
        <v>1</v>
      </c>
      <c r="C12" s="136" t="s">
        <v>140</v>
      </c>
      <c r="D12" s="99">
        <v>300</v>
      </c>
      <c r="E12" s="40">
        <f>B12*D12</f>
        <v>300</v>
      </c>
      <c r="F12" s="137">
        <v>6</v>
      </c>
      <c r="G12" s="137">
        <v>0</v>
      </c>
      <c r="H12" s="138">
        <v>1</v>
      </c>
      <c r="I12" s="40">
        <f t="shared" si="1"/>
        <v>50</v>
      </c>
    </row>
    <row r="13" spans="1:9" x14ac:dyDescent="0.25">
      <c r="A13" s="16" t="s">
        <v>132</v>
      </c>
      <c r="B13" s="135">
        <v>1</v>
      </c>
      <c r="C13" s="136" t="s">
        <v>97</v>
      </c>
      <c r="D13" s="99">
        <v>2000</v>
      </c>
      <c r="E13" s="40">
        <f t="shared" si="0"/>
        <v>2000</v>
      </c>
      <c r="F13" s="137">
        <v>12</v>
      </c>
      <c r="G13" s="137">
        <v>0</v>
      </c>
      <c r="H13" s="138">
        <v>1</v>
      </c>
      <c r="I13" s="40">
        <f t="shared" si="1"/>
        <v>166.66666666666666</v>
      </c>
    </row>
    <row r="14" spans="1:9" x14ac:dyDescent="0.25">
      <c r="A14" s="16"/>
      <c r="B14" s="16"/>
      <c r="C14" s="16"/>
      <c r="D14" s="16"/>
      <c r="E14" s="40">
        <f t="shared" si="0"/>
        <v>0</v>
      </c>
      <c r="F14" s="16"/>
      <c r="G14" s="16"/>
      <c r="H14" s="16"/>
      <c r="I14" s="40"/>
    </row>
    <row r="15" spans="1:9" x14ac:dyDescent="0.25">
      <c r="A15" s="16"/>
      <c r="B15" s="16"/>
      <c r="C15" s="16"/>
      <c r="D15" s="16"/>
      <c r="E15" s="40">
        <f t="shared" si="0"/>
        <v>0</v>
      </c>
      <c r="F15" s="16"/>
      <c r="G15" s="16"/>
      <c r="H15" s="16"/>
      <c r="I15" s="40"/>
    </row>
    <row r="16" spans="1:9" s="5" customFormat="1" x14ac:dyDescent="0.25">
      <c r="A16" s="5" t="s">
        <v>63</v>
      </c>
      <c r="E16" s="20">
        <f>SUM(E6:E15)</f>
        <v>713200</v>
      </c>
      <c r="I16" s="20">
        <f>SUM(I6:I15)</f>
        <v>117600</v>
      </c>
    </row>
    <row r="18" spans="1:9" ht="60" x14ac:dyDescent="0.25">
      <c r="A18" s="133" t="s">
        <v>62</v>
      </c>
      <c r="B18" s="133" t="s">
        <v>51</v>
      </c>
      <c r="C18" s="134" t="s">
        <v>47</v>
      </c>
      <c r="D18" s="134" t="s">
        <v>95</v>
      </c>
      <c r="E18" s="134" t="s">
        <v>9</v>
      </c>
      <c r="F18" s="134" t="s">
        <v>10</v>
      </c>
      <c r="G18" s="134" t="s">
        <v>1</v>
      </c>
      <c r="H18" s="134" t="s">
        <v>96</v>
      </c>
      <c r="I18" s="134" t="s">
        <v>11</v>
      </c>
    </row>
    <row r="19" spans="1:9" x14ac:dyDescent="0.25">
      <c r="A19" s="16" t="s">
        <v>44</v>
      </c>
      <c r="B19" s="135"/>
      <c r="C19" s="136" t="s">
        <v>97</v>
      </c>
      <c r="D19" s="99">
        <v>5000</v>
      </c>
      <c r="E19" s="40">
        <f>B19*D19</f>
        <v>0</v>
      </c>
      <c r="F19" s="137">
        <v>12</v>
      </c>
      <c r="G19" s="137">
        <v>0</v>
      </c>
      <c r="H19" s="138">
        <v>1</v>
      </c>
      <c r="I19" s="40">
        <f>((E19-G19)/F19)*H19</f>
        <v>0</v>
      </c>
    </row>
    <row r="20" spans="1:9" x14ac:dyDescent="0.25">
      <c r="A20" s="16" t="s">
        <v>60</v>
      </c>
      <c r="B20" s="135"/>
      <c r="C20" s="136" t="s">
        <v>97</v>
      </c>
      <c r="D20" s="99">
        <v>12000</v>
      </c>
      <c r="E20" s="40">
        <f t="shared" ref="E20:E28" si="2">B20*D20</f>
        <v>0</v>
      </c>
      <c r="F20" s="137">
        <v>12</v>
      </c>
      <c r="G20" s="137">
        <v>0</v>
      </c>
      <c r="H20" s="138">
        <v>1</v>
      </c>
      <c r="I20" s="40">
        <f t="shared" ref="I20:I23" si="3">((E20-G20)/F20)*H20</f>
        <v>0</v>
      </c>
    </row>
    <row r="21" spans="1:9" x14ac:dyDescent="0.25">
      <c r="A21" s="16" t="s">
        <v>2</v>
      </c>
      <c r="B21" s="135">
        <v>1</v>
      </c>
      <c r="C21" s="136" t="s">
        <v>97</v>
      </c>
      <c r="D21" s="99">
        <v>10000</v>
      </c>
      <c r="E21" s="40">
        <f t="shared" si="2"/>
        <v>10000</v>
      </c>
      <c r="F21" s="137">
        <v>12</v>
      </c>
      <c r="G21" s="137">
        <v>0</v>
      </c>
      <c r="H21" s="138">
        <v>1</v>
      </c>
      <c r="I21" s="40">
        <f t="shared" si="3"/>
        <v>833.33333333333337</v>
      </c>
    </row>
    <row r="22" spans="1:9" x14ac:dyDescent="0.25">
      <c r="A22" s="16" t="s">
        <v>3</v>
      </c>
      <c r="B22" s="135"/>
      <c r="C22" s="136" t="s">
        <v>97</v>
      </c>
      <c r="D22" s="99">
        <v>12000</v>
      </c>
      <c r="E22" s="40">
        <f t="shared" si="2"/>
        <v>0</v>
      </c>
      <c r="F22" s="137">
        <v>12</v>
      </c>
      <c r="G22" s="137">
        <v>0</v>
      </c>
      <c r="H22" s="138">
        <v>1</v>
      </c>
      <c r="I22" s="40">
        <f t="shared" si="3"/>
        <v>0</v>
      </c>
    </row>
    <row r="23" spans="1:9" x14ac:dyDescent="0.25">
      <c r="A23" s="16" t="s">
        <v>4</v>
      </c>
      <c r="B23" s="135">
        <v>3</v>
      </c>
      <c r="C23" s="136" t="s">
        <v>97</v>
      </c>
      <c r="D23" s="99">
        <v>100</v>
      </c>
      <c r="E23" s="40">
        <f t="shared" si="2"/>
        <v>300</v>
      </c>
      <c r="F23" s="137">
        <v>12</v>
      </c>
      <c r="G23" s="137">
        <v>0</v>
      </c>
      <c r="H23" s="138">
        <v>1</v>
      </c>
      <c r="I23" s="40">
        <f t="shared" si="3"/>
        <v>25</v>
      </c>
    </row>
    <row r="24" spans="1:9" x14ac:dyDescent="0.25">
      <c r="A24" s="139"/>
      <c r="B24" s="135"/>
      <c r="C24" s="136"/>
      <c r="D24" s="99"/>
      <c r="E24" s="40">
        <f t="shared" si="2"/>
        <v>0</v>
      </c>
      <c r="F24" s="137"/>
      <c r="G24" s="137"/>
      <c r="H24" s="138"/>
      <c r="I24" s="40"/>
    </row>
    <row r="25" spans="1:9" x14ac:dyDescent="0.25">
      <c r="A25" s="139"/>
      <c r="B25" s="135"/>
      <c r="C25" s="136"/>
      <c r="D25" s="99"/>
      <c r="E25" s="40">
        <f t="shared" si="2"/>
        <v>0</v>
      </c>
      <c r="F25" s="137"/>
      <c r="G25" s="137"/>
      <c r="H25" s="138"/>
      <c r="I25" s="40"/>
    </row>
    <row r="26" spans="1:9" x14ac:dyDescent="0.25">
      <c r="A26" s="16"/>
      <c r="B26" s="135"/>
      <c r="C26" s="136"/>
      <c r="D26" s="99"/>
      <c r="E26" s="40">
        <f t="shared" si="2"/>
        <v>0</v>
      </c>
      <c r="F26" s="137"/>
      <c r="G26" s="137"/>
      <c r="H26" s="138"/>
      <c r="I26" s="40"/>
    </row>
    <row r="27" spans="1:9" x14ac:dyDescent="0.25">
      <c r="A27" s="16"/>
      <c r="B27" s="16"/>
      <c r="C27" s="16"/>
      <c r="D27" s="16"/>
      <c r="E27" s="40">
        <f t="shared" si="2"/>
        <v>0</v>
      </c>
      <c r="F27" s="16"/>
      <c r="G27" s="16"/>
      <c r="H27" s="16"/>
      <c r="I27" s="40"/>
    </row>
    <row r="28" spans="1:9" x14ac:dyDescent="0.25">
      <c r="A28" s="16"/>
      <c r="B28" s="16"/>
      <c r="C28" s="16"/>
      <c r="D28" s="16"/>
      <c r="E28" s="40">
        <f t="shared" si="2"/>
        <v>0</v>
      </c>
      <c r="F28" s="16"/>
      <c r="G28" s="16"/>
      <c r="H28" s="16"/>
      <c r="I28" s="40"/>
    </row>
    <row r="29" spans="1:9" x14ac:dyDescent="0.25">
      <c r="A29" s="5" t="s">
        <v>64</v>
      </c>
      <c r="B29" s="5"/>
      <c r="C29" s="5"/>
      <c r="D29" s="5"/>
      <c r="E29" s="67">
        <f>SUM(E19:E28)</f>
        <v>10300</v>
      </c>
      <c r="F29" s="5"/>
      <c r="G29" s="5"/>
      <c r="H29" s="5"/>
      <c r="I29" s="67">
        <f>SUM(I19:I28)</f>
        <v>858.33333333333337</v>
      </c>
    </row>
    <row r="31" spans="1:9" x14ac:dyDescent="0.25">
      <c r="A31" s="5" t="s">
        <v>65</v>
      </c>
      <c r="B31" s="5"/>
      <c r="C31" s="5"/>
      <c r="D31" s="5"/>
      <c r="E31" s="67">
        <f>E16+E29</f>
        <v>723500</v>
      </c>
      <c r="F31" s="5"/>
      <c r="G31" s="5"/>
      <c r="H31" s="5"/>
      <c r="I31" s="67">
        <f>I16+I29</f>
        <v>118458.33333333333</v>
      </c>
    </row>
  </sheetData>
  <printOptions headings="1" gridLines="1"/>
  <pageMargins left="0.7" right="0.7" top="0.75" bottom="0.75" header="0.3" footer="0.3"/>
  <pageSetup scale="9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J48"/>
  <sheetViews>
    <sheetView topLeftCell="A3" zoomScaleNormal="100" workbookViewId="0">
      <selection activeCell="E8" sqref="E8"/>
    </sheetView>
  </sheetViews>
  <sheetFormatPr defaultRowHeight="15" x14ac:dyDescent="0.25"/>
  <cols>
    <col min="1" max="1" width="6" customWidth="1"/>
    <col min="2" max="2" width="21" customWidth="1"/>
    <col min="3" max="3" width="13.5703125" style="10" customWidth="1"/>
    <col min="4" max="5" width="13.5703125" customWidth="1"/>
    <col min="6" max="6" width="13.5703125" style="2" customWidth="1"/>
    <col min="7" max="8" width="13.5703125" customWidth="1"/>
    <col min="9" max="9" width="13.5703125" style="10" customWidth="1"/>
  </cols>
  <sheetData>
    <row r="1" spans="1:9" ht="18.75" x14ac:dyDescent="0.3">
      <c r="A1" s="64" t="s">
        <v>12</v>
      </c>
    </row>
    <row r="2" spans="1:9" x14ac:dyDescent="0.25">
      <c r="A2" t="s">
        <v>66</v>
      </c>
    </row>
    <row r="3" spans="1:9" x14ac:dyDescent="0.25">
      <c r="A3" t="s">
        <v>13</v>
      </c>
    </row>
    <row r="4" spans="1:9" x14ac:dyDescent="0.25">
      <c r="A4" t="s">
        <v>36</v>
      </c>
      <c r="D4" s="9">
        <f>Assumptions!B13</f>
        <v>2</v>
      </c>
    </row>
    <row r="5" spans="1:9" ht="15.75" thickBot="1" x14ac:dyDescent="0.3"/>
    <row r="6" spans="1:9" x14ac:dyDescent="0.25">
      <c r="A6" s="80" t="s">
        <v>55</v>
      </c>
      <c r="B6" s="81"/>
      <c r="C6" s="82"/>
      <c r="D6" s="81"/>
      <c r="E6" s="81"/>
      <c r="F6" s="83"/>
    </row>
    <row r="7" spans="1:9" ht="15.75" thickBot="1" x14ac:dyDescent="0.3">
      <c r="A7" s="119" t="s">
        <v>0</v>
      </c>
      <c r="B7" s="120"/>
      <c r="C7" s="121" t="s">
        <v>8</v>
      </c>
      <c r="D7" s="121" t="s">
        <v>47</v>
      </c>
      <c r="E7" s="121" t="s">
        <v>99</v>
      </c>
      <c r="F7" s="122" t="s">
        <v>15</v>
      </c>
    </row>
    <row r="8" spans="1:9" x14ac:dyDescent="0.25">
      <c r="A8" s="108" t="s">
        <v>100</v>
      </c>
      <c r="B8" s="109"/>
      <c r="C8" s="117">
        <f>Assumptions!H24*Assumptions!B20</f>
        <v>1000000</v>
      </c>
      <c r="D8" s="123" t="s">
        <v>97</v>
      </c>
      <c r="E8" s="112">
        <f>Assumptions!B22</f>
        <v>0.55000000000000004</v>
      </c>
      <c r="F8" s="118">
        <f>E8*C8</f>
        <v>550000</v>
      </c>
    </row>
    <row r="9" spans="1:9" x14ac:dyDescent="0.25">
      <c r="A9" s="84" t="s">
        <v>101</v>
      </c>
      <c r="B9" s="16"/>
      <c r="C9" s="77">
        <f>Assumptions!B7*Assumptions!B21/Assumptions!B9</f>
        <v>0</v>
      </c>
      <c r="D9" s="124" t="s">
        <v>102</v>
      </c>
      <c r="E9" s="78">
        <f>Assumptions!B23</f>
        <v>55</v>
      </c>
      <c r="F9" s="118">
        <f>E9*C9</f>
        <v>0</v>
      </c>
    </row>
    <row r="10" spans="1:9" x14ac:dyDescent="0.25">
      <c r="A10" s="84" t="s">
        <v>16</v>
      </c>
      <c r="B10" s="16"/>
      <c r="C10" s="76"/>
      <c r="D10" s="124"/>
      <c r="E10" s="16"/>
      <c r="F10" s="41"/>
    </row>
    <row r="11" spans="1:9" ht="15.75" thickBot="1" x14ac:dyDescent="0.3">
      <c r="A11" s="85" t="s">
        <v>56</v>
      </c>
      <c r="B11" s="86"/>
      <c r="C11" s="87"/>
      <c r="D11" s="125"/>
      <c r="E11" s="86"/>
      <c r="F11" s="88">
        <f>SUM(F8:F10)</f>
        <v>550000</v>
      </c>
    </row>
    <row r="12" spans="1:9" ht="15.75" thickBot="1" x14ac:dyDescent="0.3"/>
    <row r="13" spans="1:9" x14ac:dyDescent="0.25">
      <c r="A13" s="80" t="s">
        <v>17</v>
      </c>
      <c r="B13" s="100"/>
      <c r="C13" s="82"/>
      <c r="D13" s="81"/>
      <c r="E13" s="81"/>
      <c r="F13" s="101"/>
      <c r="G13" s="81"/>
      <c r="H13" s="81"/>
      <c r="I13" s="102"/>
    </row>
    <row r="14" spans="1:9" s="65" customFormat="1" ht="30.75" thickBot="1" x14ac:dyDescent="0.3">
      <c r="A14" s="152" t="s">
        <v>0</v>
      </c>
      <c r="B14" s="153"/>
      <c r="C14" s="114" t="s">
        <v>8</v>
      </c>
      <c r="D14" s="114" t="s">
        <v>47</v>
      </c>
      <c r="E14" s="114" t="s">
        <v>99</v>
      </c>
      <c r="F14" s="115" t="s">
        <v>15</v>
      </c>
      <c r="G14" s="114" t="s">
        <v>103</v>
      </c>
      <c r="H14" s="114" t="s">
        <v>104</v>
      </c>
      <c r="I14" s="116" t="s">
        <v>105</v>
      </c>
    </row>
    <row r="15" spans="1:9" x14ac:dyDescent="0.25">
      <c r="A15" s="108" t="s">
        <v>145</v>
      </c>
      <c r="B15" s="109"/>
      <c r="C15" s="110">
        <f>Assumptions!H30/1000</f>
        <v>1333.3333333333333</v>
      </c>
      <c r="D15" s="123" t="s">
        <v>109</v>
      </c>
      <c r="E15" s="111">
        <f>Assumptions!B16</f>
        <v>9.5</v>
      </c>
      <c r="F15" s="47">
        <f>C15*E15</f>
        <v>12666.666666666666</v>
      </c>
      <c r="G15" s="112">
        <f>F15/Assumptions!$H$24</f>
        <v>1.2666666666666666E-2</v>
      </c>
      <c r="H15" s="112">
        <f>F15/Assumptions!$H$25</f>
        <v>3.4833333333333329</v>
      </c>
      <c r="I15" s="113">
        <f t="shared" ref="I15:I29" si="0">F15/$F$41</f>
        <v>4.5417716901569892E-2</v>
      </c>
    </row>
    <row r="16" spans="1:9" x14ac:dyDescent="0.25">
      <c r="A16" s="84" t="s">
        <v>7</v>
      </c>
      <c r="B16" s="16"/>
      <c r="C16" s="76"/>
      <c r="D16" s="124"/>
      <c r="E16" s="91"/>
      <c r="F16" s="40"/>
      <c r="G16" s="92"/>
      <c r="H16" s="112"/>
      <c r="I16" s="103">
        <f t="shared" si="0"/>
        <v>0</v>
      </c>
    </row>
    <row r="17" spans="1:9" x14ac:dyDescent="0.25">
      <c r="A17" s="84"/>
      <c r="B17" s="16" t="s">
        <v>122</v>
      </c>
      <c r="C17" s="93">
        <f>Assumptions!H9*Assumptions!H10</f>
        <v>4160</v>
      </c>
      <c r="D17" s="124" t="s">
        <v>75</v>
      </c>
      <c r="E17" s="91">
        <f>Assumptions!H8</f>
        <v>10</v>
      </c>
      <c r="F17" s="40">
        <f t="shared" ref="F17:F21" si="1">C17*E17</f>
        <v>41600</v>
      </c>
      <c r="G17" s="92">
        <f>F17/Assumptions!$H$24</f>
        <v>4.1599999999999998E-2</v>
      </c>
      <c r="H17" s="112">
        <f>F17/Assumptions!$H$25</f>
        <v>11.44</v>
      </c>
      <c r="I17" s="103">
        <f t="shared" si="0"/>
        <v>0.14916134392936639</v>
      </c>
    </row>
    <row r="18" spans="1:9" x14ac:dyDescent="0.25">
      <c r="A18" s="84"/>
      <c r="B18" s="16" t="s">
        <v>123</v>
      </c>
      <c r="C18" s="94">
        <f>Assumptions!H12*Assumptions!H13</f>
        <v>2080</v>
      </c>
      <c r="D18" s="124" t="s">
        <v>75</v>
      </c>
      <c r="E18" s="78">
        <f>Assumptions!H11</f>
        <v>15</v>
      </c>
      <c r="F18" s="91">
        <f>E18*C18</f>
        <v>31200</v>
      </c>
      <c r="G18" s="92">
        <f>F18/Assumptions!$H$24</f>
        <v>3.1199999999999999E-2</v>
      </c>
      <c r="H18" s="112">
        <f>F18/Assumptions!$H$25</f>
        <v>8.58</v>
      </c>
      <c r="I18" s="103">
        <f t="shared" si="0"/>
        <v>0.11187100794702479</v>
      </c>
    </row>
    <row r="19" spans="1:9" x14ac:dyDescent="0.25">
      <c r="A19" s="84" t="s">
        <v>6</v>
      </c>
      <c r="B19" s="16"/>
      <c r="C19" s="94"/>
      <c r="D19" s="124" t="s">
        <v>76</v>
      </c>
      <c r="E19" s="91"/>
      <c r="F19" s="40">
        <f>Assumptions!B17</f>
        <v>5000</v>
      </c>
      <c r="G19" s="92">
        <f>F19/Assumptions!$H$24</f>
        <v>5.0000000000000001E-3</v>
      </c>
      <c r="H19" s="112">
        <f>F19/Assumptions!$H$25</f>
        <v>1.375</v>
      </c>
      <c r="I19" s="103">
        <f t="shared" si="0"/>
        <v>1.7928046145356535E-2</v>
      </c>
    </row>
    <row r="20" spans="1:9" x14ac:dyDescent="0.25">
      <c r="A20" s="84" t="s">
        <v>18</v>
      </c>
      <c r="B20" s="16"/>
      <c r="C20" s="76"/>
      <c r="D20" s="124" t="s">
        <v>76</v>
      </c>
      <c r="E20" s="16"/>
      <c r="F20" s="95">
        <f>Assumptions!H14</f>
        <v>2000</v>
      </c>
      <c r="G20" s="92">
        <f>F20/Assumptions!$H$24</f>
        <v>2E-3</v>
      </c>
      <c r="H20" s="112">
        <f>F20/Assumptions!$H$25</f>
        <v>0.54999999999999993</v>
      </c>
      <c r="I20" s="103">
        <f t="shared" si="0"/>
        <v>7.1712184581426142E-3</v>
      </c>
    </row>
    <row r="21" spans="1:9" x14ac:dyDescent="0.25">
      <c r="A21" s="84" t="s">
        <v>19</v>
      </c>
      <c r="B21" s="16"/>
      <c r="C21" s="96">
        <f>ROUNDUP((C8/Assumptions!B24),0)</f>
        <v>10000</v>
      </c>
      <c r="D21" s="124" t="s">
        <v>110</v>
      </c>
      <c r="E21" s="91">
        <f>Assumptions!B25</f>
        <v>1</v>
      </c>
      <c r="F21" s="40">
        <f t="shared" si="1"/>
        <v>10000</v>
      </c>
      <c r="G21" s="92">
        <f>F21/Assumptions!$H$24</f>
        <v>0.01</v>
      </c>
      <c r="H21" s="112">
        <f>F21/Assumptions!$H$25</f>
        <v>2.75</v>
      </c>
      <c r="I21" s="103">
        <f t="shared" si="0"/>
        <v>3.5856092290713071E-2</v>
      </c>
    </row>
    <row r="22" spans="1:9" x14ac:dyDescent="0.25">
      <c r="A22" s="84" t="s">
        <v>20</v>
      </c>
      <c r="B22" s="16"/>
      <c r="C22" s="76"/>
      <c r="D22" s="16"/>
      <c r="E22" s="91"/>
      <c r="F22" s="97">
        <f>Assumptions!B26</f>
        <v>10000</v>
      </c>
      <c r="G22" s="92">
        <f>F22/Assumptions!$H$24</f>
        <v>0.01</v>
      </c>
      <c r="H22" s="112">
        <f>F22/Assumptions!$H$25</f>
        <v>2.75</v>
      </c>
      <c r="I22" s="103">
        <f t="shared" si="0"/>
        <v>3.5856092290713071E-2</v>
      </c>
    </row>
    <row r="23" spans="1:9" x14ac:dyDescent="0.25">
      <c r="A23" s="84" t="s">
        <v>16</v>
      </c>
      <c r="B23" s="16"/>
      <c r="C23" s="98"/>
      <c r="D23" s="16"/>
      <c r="E23" s="16"/>
      <c r="F23" s="40"/>
      <c r="G23" s="92">
        <f>F23/Assumptions!$H$24</f>
        <v>0</v>
      </c>
      <c r="H23" s="112">
        <f>F23/Assumptions!$H$25</f>
        <v>0</v>
      </c>
      <c r="I23" s="103">
        <f t="shared" si="0"/>
        <v>0</v>
      </c>
    </row>
    <row r="24" spans="1:9" x14ac:dyDescent="0.25">
      <c r="A24" s="84" t="s">
        <v>16</v>
      </c>
      <c r="B24" s="16"/>
      <c r="C24" s="98"/>
      <c r="D24" s="16"/>
      <c r="E24" s="16"/>
      <c r="F24" s="40"/>
      <c r="G24" s="92">
        <f>F24/Assumptions!$H$24</f>
        <v>0</v>
      </c>
      <c r="H24" s="112">
        <f>F24/Assumptions!$H$25</f>
        <v>0</v>
      </c>
      <c r="I24" s="103">
        <f t="shared" si="0"/>
        <v>0</v>
      </c>
    </row>
    <row r="25" spans="1:9" x14ac:dyDescent="0.25">
      <c r="A25" s="84" t="s">
        <v>16</v>
      </c>
      <c r="B25" s="16"/>
      <c r="C25" s="98"/>
      <c r="D25" s="16"/>
      <c r="E25" s="16"/>
      <c r="F25" s="40"/>
      <c r="G25" s="92">
        <f>F25/Assumptions!$H$24</f>
        <v>0</v>
      </c>
      <c r="H25" s="112">
        <f>F25/Assumptions!$H$25</f>
        <v>0</v>
      </c>
      <c r="I25" s="103">
        <f t="shared" si="0"/>
        <v>0</v>
      </c>
    </row>
    <row r="26" spans="1:9" x14ac:dyDescent="0.25">
      <c r="A26" s="84" t="s">
        <v>16</v>
      </c>
      <c r="B26" s="16"/>
      <c r="C26" s="98"/>
      <c r="D26" s="16"/>
      <c r="E26" s="16"/>
      <c r="F26" s="40"/>
      <c r="G26" s="92">
        <f>F26/Assumptions!$H$24</f>
        <v>0</v>
      </c>
      <c r="H26" s="112">
        <f>F26/Assumptions!$H$25</f>
        <v>0</v>
      </c>
      <c r="I26" s="103">
        <f t="shared" si="0"/>
        <v>0</v>
      </c>
    </row>
    <row r="27" spans="1:9" x14ac:dyDescent="0.25">
      <c r="A27" s="84" t="s">
        <v>21</v>
      </c>
      <c r="B27" s="16"/>
      <c r="C27" s="98">
        <f>Assumptions!H18</f>
        <v>0.05</v>
      </c>
      <c r="D27" s="16" t="s">
        <v>111</v>
      </c>
      <c r="E27" s="16"/>
      <c r="F27" s="40">
        <f>C27*(SUM(F15:F26))</f>
        <v>5623.333333333333</v>
      </c>
      <c r="G27" s="92">
        <f>F27/Assumptions!$H$24</f>
        <v>5.6233333333333326E-3</v>
      </c>
      <c r="H27" s="112">
        <f>F27/Assumptions!$H$25</f>
        <v>1.5464166666666666</v>
      </c>
      <c r="I27" s="103">
        <f t="shared" si="0"/>
        <v>2.0163075898144318E-2</v>
      </c>
    </row>
    <row r="28" spans="1:9" x14ac:dyDescent="0.25">
      <c r="A28" s="84" t="s">
        <v>106</v>
      </c>
      <c r="B28" s="16"/>
      <c r="C28" s="76"/>
      <c r="D28" s="16"/>
      <c r="E28" s="16"/>
      <c r="F28" s="40">
        <f>Assumptions!H19*(SUM(F15:F27))</f>
        <v>8266.2999999999993</v>
      </c>
      <c r="G28" s="92">
        <f>F28/Assumptions!$H$24</f>
        <v>8.266299999999999E-3</v>
      </c>
      <c r="H28" s="112">
        <f>F28/Assumptions!$H$25</f>
        <v>2.2732324999999998</v>
      </c>
      <c r="I28" s="103">
        <f t="shared" si="0"/>
        <v>2.9639721570272146E-2</v>
      </c>
    </row>
    <row r="29" spans="1:9" x14ac:dyDescent="0.25">
      <c r="A29" s="104" t="s">
        <v>57</v>
      </c>
      <c r="B29" s="75"/>
      <c r="C29" s="72"/>
      <c r="D29" s="75"/>
      <c r="E29" s="75"/>
      <c r="F29" s="79">
        <f>SUM(F15:F28)</f>
        <v>126356.29999999999</v>
      </c>
      <c r="G29" s="92">
        <f>F29/Assumptions!$H$24</f>
        <v>0.12635629999999998</v>
      </c>
      <c r="H29" s="112">
        <f>F29/Assumptions!$H$25</f>
        <v>34.747982499999999</v>
      </c>
      <c r="I29" s="103">
        <f t="shared" si="0"/>
        <v>0.45306431543130277</v>
      </c>
    </row>
    <row r="30" spans="1:9" x14ac:dyDescent="0.25">
      <c r="A30" s="84"/>
      <c r="B30" s="16"/>
      <c r="C30" s="76"/>
      <c r="D30" s="16"/>
      <c r="E30" s="16"/>
      <c r="F30" s="40"/>
      <c r="G30" s="78"/>
      <c r="H30" s="78"/>
      <c r="I30" s="103"/>
    </row>
    <row r="31" spans="1:9" x14ac:dyDescent="0.25">
      <c r="A31" s="104" t="s">
        <v>27</v>
      </c>
      <c r="B31" s="16"/>
      <c r="C31" s="76"/>
      <c r="D31" s="16"/>
      <c r="E31" s="16"/>
      <c r="F31" s="40"/>
      <c r="G31" s="78"/>
      <c r="H31" s="78"/>
      <c r="I31" s="103"/>
    </row>
    <row r="32" spans="1:9" s="5" customFormat="1" ht="30" x14ac:dyDescent="0.25">
      <c r="A32" s="154" t="s">
        <v>0</v>
      </c>
      <c r="B32" s="155"/>
      <c r="C32" s="89" t="s">
        <v>8</v>
      </c>
      <c r="D32" s="89" t="s">
        <v>47</v>
      </c>
      <c r="E32" s="89" t="s">
        <v>99</v>
      </c>
      <c r="F32" s="90" t="s">
        <v>15</v>
      </c>
      <c r="G32" s="89" t="s">
        <v>103</v>
      </c>
      <c r="H32" s="89" t="s">
        <v>104</v>
      </c>
      <c r="I32" s="105"/>
    </row>
    <row r="33" spans="1:10" x14ac:dyDescent="0.25">
      <c r="A33" s="84" t="s">
        <v>22</v>
      </c>
      <c r="B33" s="16"/>
      <c r="C33" s="76">
        <v>1</v>
      </c>
      <c r="D33" s="16" t="s">
        <v>31</v>
      </c>
      <c r="E33" s="91"/>
      <c r="F33" s="97">
        <f>Assumptions!H15+Assumptions!H16</f>
        <v>2000</v>
      </c>
      <c r="G33" s="126">
        <f>F33/Assumptions!$H$24</f>
        <v>2E-3</v>
      </c>
      <c r="H33" s="92">
        <f>F33/Assumptions!$H$25</f>
        <v>0.54999999999999993</v>
      </c>
      <c r="I33" s="103">
        <f t="shared" ref="I33:I39" si="2">F33/$F$41</f>
        <v>7.1712184581426142E-3</v>
      </c>
      <c r="J33" s="4"/>
    </row>
    <row r="34" spans="1:10" x14ac:dyDescent="0.25">
      <c r="A34" s="84" t="s">
        <v>23</v>
      </c>
      <c r="B34" s="16"/>
      <c r="C34" s="76">
        <f>Assumptions!B10</f>
        <v>10</v>
      </c>
      <c r="D34" s="16" t="s">
        <v>74</v>
      </c>
      <c r="E34" s="78">
        <f>Assumptions!H7</f>
        <v>25</v>
      </c>
      <c r="F34" s="40">
        <f>C34*E34</f>
        <v>250</v>
      </c>
      <c r="G34" s="126">
        <f>F34/Assumptions!$H$24</f>
        <v>2.5000000000000001E-4</v>
      </c>
      <c r="H34" s="92">
        <f>F34/Assumptions!$H$25</f>
        <v>6.8749999999999992E-2</v>
      </c>
      <c r="I34" s="103">
        <f t="shared" si="2"/>
        <v>8.9640230726782677E-4</v>
      </c>
    </row>
    <row r="35" spans="1:10" x14ac:dyDescent="0.25">
      <c r="A35" s="84" t="s">
        <v>24</v>
      </c>
      <c r="B35" s="16"/>
      <c r="C35" s="76"/>
      <c r="D35" s="16"/>
      <c r="E35" s="16"/>
      <c r="F35" s="97">
        <f>Assumptions!H17</f>
        <v>1000</v>
      </c>
      <c r="G35" s="92">
        <f>F35/Assumptions!$H$24</f>
        <v>1E-3</v>
      </c>
      <c r="H35" s="92">
        <f>F35/Assumptions!$H$25</f>
        <v>0.27499999999999997</v>
      </c>
      <c r="I35" s="103">
        <f t="shared" si="2"/>
        <v>3.5856092290713071E-3</v>
      </c>
    </row>
    <row r="36" spans="1:10" x14ac:dyDescent="0.25">
      <c r="A36" s="84" t="s">
        <v>130</v>
      </c>
      <c r="B36" s="16"/>
      <c r="C36" s="76"/>
      <c r="D36" s="16"/>
      <c r="E36" s="16"/>
      <c r="F36" s="40">
        <f>0.04*'Bottom Prep and Capital Cost'!E16</f>
        <v>28528</v>
      </c>
      <c r="G36" s="126">
        <f>F36/Assumptions!$H$24</f>
        <v>2.8528000000000001E-2</v>
      </c>
      <c r="H36" s="92">
        <f>F36/Assumptions!$H$25</f>
        <v>7.8452000000000002</v>
      </c>
      <c r="I36" s="103">
        <f t="shared" si="2"/>
        <v>0.10229026008694625</v>
      </c>
    </row>
    <row r="37" spans="1:10" x14ac:dyDescent="0.25">
      <c r="A37" s="84" t="s">
        <v>26</v>
      </c>
      <c r="B37" s="16"/>
      <c r="C37" s="76"/>
      <c r="D37" s="16"/>
      <c r="E37" s="16"/>
      <c r="F37" s="97">
        <f>Assumptions!H20</f>
        <v>2300</v>
      </c>
      <c r="G37" s="126">
        <f>F37/Assumptions!$H$24</f>
        <v>2.3E-3</v>
      </c>
      <c r="H37" s="92">
        <f>F37/Assumptions!$H$25</f>
        <v>0.63249999999999995</v>
      </c>
      <c r="I37" s="103">
        <f t="shared" si="2"/>
        <v>8.2469012268640059E-3</v>
      </c>
    </row>
    <row r="38" spans="1:10" x14ac:dyDescent="0.25">
      <c r="A38" s="84" t="s">
        <v>25</v>
      </c>
      <c r="B38" s="16"/>
      <c r="C38" s="76"/>
      <c r="D38" s="16"/>
      <c r="E38" s="16"/>
      <c r="F38" s="40">
        <f>'Bottom Prep and Capital Cost'!I31</f>
        <v>118458.33333333333</v>
      </c>
      <c r="G38" s="126">
        <f>F38/Assumptions!$H$24</f>
        <v>0.11845833333333333</v>
      </c>
      <c r="H38" s="92">
        <f>F38/Assumptions!$H$25</f>
        <v>32.576041666666661</v>
      </c>
      <c r="I38" s="103">
        <f t="shared" si="2"/>
        <v>0.42474529326040528</v>
      </c>
    </row>
    <row r="39" spans="1:10" x14ac:dyDescent="0.25">
      <c r="A39" s="104" t="s">
        <v>28</v>
      </c>
      <c r="B39" s="75"/>
      <c r="C39" s="72"/>
      <c r="D39" s="75"/>
      <c r="E39" s="75"/>
      <c r="F39" s="79">
        <f>SUM(F33:F38)</f>
        <v>152536.33333333331</v>
      </c>
      <c r="G39" s="126">
        <f>F39/Assumptions!$H$24</f>
        <v>0.1525363333333333</v>
      </c>
      <c r="H39" s="92">
        <f>F39/Assumptions!$H$25</f>
        <v>41.947491666666657</v>
      </c>
      <c r="I39" s="103">
        <f t="shared" si="2"/>
        <v>0.54693568456869723</v>
      </c>
    </row>
    <row r="40" spans="1:10" x14ac:dyDescent="0.25">
      <c r="A40" s="84"/>
      <c r="B40" s="16"/>
      <c r="C40" s="76"/>
      <c r="D40" s="16"/>
      <c r="E40" s="16"/>
      <c r="F40" s="40"/>
      <c r="G40" s="78"/>
      <c r="H40" s="92">
        <f>F40/Assumptions!$H$25</f>
        <v>0</v>
      </c>
      <c r="I40" s="103"/>
    </row>
    <row r="41" spans="1:10" ht="15.75" thickBot="1" x14ac:dyDescent="0.3">
      <c r="A41" s="85" t="s">
        <v>29</v>
      </c>
      <c r="B41" s="86"/>
      <c r="C41" s="87"/>
      <c r="D41" s="86"/>
      <c r="E41" s="86"/>
      <c r="F41" s="106">
        <f>F39+F29</f>
        <v>278892.6333333333</v>
      </c>
      <c r="G41" s="127">
        <f>F41/Assumptions!$H$24</f>
        <v>0.27889263333333331</v>
      </c>
      <c r="H41" s="132">
        <f>F41/Assumptions!$H$25</f>
        <v>76.695474166666656</v>
      </c>
      <c r="I41" s="107">
        <f>F41/$F$41</f>
        <v>1</v>
      </c>
    </row>
    <row r="42" spans="1:10" x14ac:dyDescent="0.25">
      <c r="G42" s="4"/>
      <c r="H42" s="4"/>
    </row>
    <row r="43" spans="1:10" x14ac:dyDescent="0.25">
      <c r="A43" s="5" t="s">
        <v>107</v>
      </c>
      <c r="B43" s="5"/>
      <c r="C43" s="27"/>
      <c r="D43" s="5"/>
      <c r="E43" s="5"/>
      <c r="F43" s="20">
        <f>F11-F41</f>
        <v>271107.3666666667</v>
      </c>
      <c r="G43" s="7"/>
      <c r="H43" s="7"/>
    </row>
    <row r="45" spans="1:10" s="5" customFormat="1" ht="18.75" x14ac:dyDescent="0.3">
      <c r="B45" s="64" t="s">
        <v>53</v>
      </c>
      <c r="F45" s="67"/>
      <c r="I45" s="27"/>
    </row>
    <row r="46" spans="1:10" ht="30" x14ac:dyDescent="0.25">
      <c r="B46" s="50"/>
      <c r="C46" s="66" t="s">
        <v>108</v>
      </c>
      <c r="D46" s="140" t="s">
        <v>107</v>
      </c>
      <c r="F46" s="3"/>
    </row>
    <row r="47" spans="1:10" x14ac:dyDescent="0.25">
      <c r="B47" s="53" t="s">
        <v>103</v>
      </c>
      <c r="C47" s="128">
        <f>G41</f>
        <v>0.27889263333333331</v>
      </c>
      <c r="D47" s="129">
        <f>F43/Assumptions!H24</f>
        <v>0.27110736666666668</v>
      </c>
      <c r="F47" s="3"/>
    </row>
    <row r="48" spans="1:10" x14ac:dyDescent="0.25">
      <c r="B48" s="55" t="s">
        <v>104</v>
      </c>
      <c r="C48" s="61">
        <f>H41</f>
        <v>76.695474166666656</v>
      </c>
      <c r="D48" s="62">
        <f>F43/Assumptions!B7</f>
        <v>0.27110736666666668</v>
      </c>
    </row>
  </sheetData>
  <mergeCells count="2">
    <mergeCell ref="A14:B14"/>
    <mergeCell ref="A32:B32"/>
  </mergeCells>
  <printOptions headings="1" gridLines="1"/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A1:F20"/>
  <sheetViews>
    <sheetView topLeftCell="A2" workbookViewId="0">
      <selection activeCell="C5" sqref="C5"/>
    </sheetView>
  </sheetViews>
  <sheetFormatPr defaultRowHeight="15" x14ac:dyDescent="0.25"/>
  <cols>
    <col min="1" max="1" width="9" customWidth="1"/>
    <col min="2" max="2" width="11.5703125" bestFit="1" customWidth="1"/>
    <col min="3" max="3" width="10" bestFit="1" customWidth="1"/>
    <col min="4" max="4" width="13.7109375" customWidth="1"/>
    <col min="6" max="6" width="11.5703125" bestFit="1" customWidth="1"/>
  </cols>
  <sheetData>
    <row r="1" spans="1:6" ht="18.75" x14ac:dyDescent="0.3">
      <c r="A1" s="64" t="s">
        <v>30</v>
      </c>
    </row>
    <row r="3" spans="1:6" x14ac:dyDescent="0.25">
      <c r="A3" s="5" t="s">
        <v>139</v>
      </c>
      <c r="F3" s="2">
        <f>'Bottom Prep and Capital Cost'!E31</f>
        <v>723500</v>
      </c>
    </row>
    <row r="4" spans="1:6" x14ac:dyDescent="0.25">
      <c r="A4" s="5" t="s">
        <v>33</v>
      </c>
      <c r="C4">
        <f>Assumptions!B13</f>
        <v>2</v>
      </c>
    </row>
    <row r="6" spans="1:6" x14ac:dyDescent="0.25">
      <c r="A6" s="5" t="s">
        <v>31</v>
      </c>
      <c r="B6" s="5" t="s">
        <v>14</v>
      </c>
      <c r="C6" s="5" t="s">
        <v>32</v>
      </c>
      <c r="D6" s="5" t="s">
        <v>34</v>
      </c>
    </row>
    <row r="7" spans="1:6" x14ac:dyDescent="0.25">
      <c r="A7">
        <v>0</v>
      </c>
      <c r="B7" s="2">
        <f>IF(E7=TRUE,'Yearly Enterprise Budget'!$F$11,0)</f>
        <v>0</v>
      </c>
      <c r="C7" s="3">
        <f>F3</f>
        <v>723500</v>
      </c>
      <c r="D7" s="3">
        <f>-C7</f>
        <v>-723500</v>
      </c>
      <c r="E7" t="b">
        <f>OR(A7=$C$4,A7&gt;$C$4)</f>
        <v>0</v>
      </c>
    </row>
    <row r="8" spans="1:6" x14ac:dyDescent="0.25">
      <c r="A8">
        <v>1</v>
      </c>
      <c r="B8" s="2">
        <f>IF(E8=TRUE,'Yearly Enterprise Budget'!$F$11,0)</f>
        <v>0</v>
      </c>
      <c r="C8" s="3">
        <f>'Yearly Enterprise Budget'!$F$41</f>
        <v>278892.6333333333</v>
      </c>
      <c r="D8" s="3">
        <f>D7+B8-C8</f>
        <v>-1002392.6333333333</v>
      </c>
      <c r="E8" t="b">
        <f t="shared" ref="E8:E17" si="0">OR(A8=$C$4,A8&gt;$C$4)</f>
        <v>0</v>
      </c>
    </row>
    <row r="9" spans="1:6" x14ac:dyDescent="0.25">
      <c r="A9">
        <v>2</v>
      </c>
      <c r="B9" s="2">
        <f>IF(E9=TRUE,'Yearly Enterprise Budget'!$F$11,0)</f>
        <v>550000</v>
      </c>
      <c r="C9" s="3">
        <f>'Yearly Enterprise Budget'!$F$41</f>
        <v>278892.6333333333</v>
      </c>
      <c r="D9" s="3">
        <f>D8+B9-C9</f>
        <v>-731285.2666666666</v>
      </c>
      <c r="E9" t="b">
        <f t="shared" si="0"/>
        <v>1</v>
      </c>
    </row>
    <row r="10" spans="1:6" x14ac:dyDescent="0.25">
      <c r="A10">
        <v>3</v>
      </c>
      <c r="B10" s="2">
        <f>IF(E10=TRUE,'Yearly Enterprise Budget'!$F$11,0)</f>
        <v>550000</v>
      </c>
      <c r="C10" s="3">
        <f>'Yearly Enterprise Budget'!$F$41</f>
        <v>278892.6333333333</v>
      </c>
      <c r="D10" s="3">
        <f t="shared" ref="D10:D17" si="1">D9+B10-C10</f>
        <v>-460177.89999999991</v>
      </c>
      <c r="E10" t="b">
        <f t="shared" si="0"/>
        <v>1</v>
      </c>
    </row>
    <row r="11" spans="1:6" x14ac:dyDescent="0.25">
      <c r="A11">
        <v>4</v>
      </c>
      <c r="B11" s="2">
        <f>IF(E11=TRUE,'Yearly Enterprise Budget'!$F$11,0)</f>
        <v>550000</v>
      </c>
      <c r="C11" s="3">
        <f>'Yearly Enterprise Budget'!$F$41</f>
        <v>278892.6333333333</v>
      </c>
      <c r="D11" s="3">
        <f t="shared" si="1"/>
        <v>-189070.53333333321</v>
      </c>
      <c r="E11" t="b">
        <f t="shared" si="0"/>
        <v>1</v>
      </c>
    </row>
    <row r="12" spans="1:6" x14ac:dyDescent="0.25">
      <c r="A12">
        <v>5</v>
      </c>
      <c r="B12" s="2">
        <f>IF(E12=TRUE,'Yearly Enterprise Budget'!$F$11,0)</f>
        <v>550000</v>
      </c>
      <c r="C12" s="3">
        <f>'Yearly Enterprise Budget'!$F$41</f>
        <v>278892.6333333333</v>
      </c>
      <c r="D12" s="3">
        <f t="shared" si="1"/>
        <v>82036.833333333489</v>
      </c>
      <c r="E12" t="b">
        <f t="shared" si="0"/>
        <v>1</v>
      </c>
    </row>
    <row r="13" spans="1:6" x14ac:dyDescent="0.25">
      <c r="A13">
        <v>6</v>
      </c>
      <c r="B13" s="2">
        <f>IF(E13=TRUE,'Yearly Enterprise Budget'!$F$11,0)</f>
        <v>550000</v>
      </c>
      <c r="C13" s="3">
        <f>'Yearly Enterprise Budget'!$F$41</f>
        <v>278892.6333333333</v>
      </c>
      <c r="D13" s="3">
        <f t="shared" si="1"/>
        <v>353144.20000000019</v>
      </c>
      <c r="E13" t="b">
        <f t="shared" si="0"/>
        <v>1</v>
      </c>
    </row>
    <row r="14" spans="1:6" x14ac:dyDescent="0.25">
      <c r="A14">
        <v>7</v>
      </c>
      <c r="B14" s="2">
        <f>IF(E14=TRUE,'Yearly Enterprise Budget'!$F$11,0)</f>
        <v>550000</v>
      </c>
      <c r="C14" s="3">
        <f>'Yearly Enterprise Budget'!$F$41</f>
        <v>278892.6333333333</v>
      </c>
      <c r="D14" s="3">
        <f t="shared" si="1"/>
        <v>624251.56666666688</v>
      </c>
      <c r="E14" t="b">
        <f t="shared" si="0"/>
        <v>1</v>
      </c>
    </row>
    <row r="15" spans="1:6" x14ac:dyDescent="0.25">
      <c r="A15">
        <v>8</v>
      </c>
      <c r="B15" s="2">
        <f>IF(E15=TRUE,'Yearly Enterprise Budget'!$F$11,0)</f>
        <v>550000</v>
      </c>
      <c r="C15" s="3">
        <f>'Yearly Enterprise Budget'!$F$41</f>
        <v>278892.6333333333</v>
      </c>
      <c r="D15" s="3">
        <f t="shared" si="1"/>
        <v>895358.93333333358</v>
      </c>
      <c r="E15" t="b">
        <f t="shared" si="0"/>
        <v>1</v>
      </c>
    </row>
    <row r="16" spans="1:6" x14ac:dyDescent="0.25">
      <c r="A16">
        <v>9</v>
      </c>
      <c r="B16" s="2">
        <f>IF(E16=TRUE,'Yearly Enterprise Budget'!$F$11,0)</f>
        <v>550000</v>
      </c>
      <c r="C16" s="3">
        <f>'Yearly Enterprise Budget'!$F$41</f>
        <v>278892.6333333333</v>
      </c>
      <c r="D16" s="3">
        <f t="shared" si="1"/>
        <v>1166466.3000000003</v>
      </c>
      <c r="E16" t="b">
        <f t="shared" si="0"/>
        <v>1</v>
      </c>
    </row>
    <row r="17" spans="1:5" x14ac:dyDescent="0.25">
      <c r="A17">
        <v>10</v>
      </c>
      <c r="B17" s="2">
        <f>IF(E17=TRUE,'Yearly Enterprise Budget'!$F$11,0)</f>
        <v>550000</v>
      </c>
      <c r="C17" s="3">
        <f>'Yearly Enterprise Budget'!$F$41</f>
        <v>278892.6333333333</v>
      </c>
      <c r="D17" s="3">
        <f t="shared" si="1"/>
        <v>1437573.666666667</v>
      </c>
      <c r="E17" t="b">
        <f t="shared" si="0"/>
        <v>1</v>
      </c>
    </row>
    <row r="20" spans="1:5" x14ac:dyDescent="0.25">
      <c r="A20" s="5" t="s">
        <v>35</v>
      </c>
      <c r="B20" s="5"/>
      <c r="C20" s="5"/>
      <c r="D20" s="68">
        <f>IRR(D7:D17)</f>
        <v>5.5952525733345304E-2</v>
      </c>
    </row>
  </sheetData>
  <printOptions headings="1" gridLines="1"/>
  <pageMargins left="0.7" right="0.7" top="0.75" bottom="0.75" header="0.3" footer="0.3"/>
  <pageSetup scale="86" orientation="landscape" verticalDpi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L22"/>
  <sheetViews>
    <sheetView workbookViewId="0">
      <selection activeCell="D4" sqref="D4"/>
    </sheetView>
  </sheetViews>
  <sheetFormatPr defaultRowHeight="15" x14ac:dyDescent="0.25"/>
  <cols>
    <col min="2" max="2" width="15.140625" customWidth="1"/>
    <col min="3" max="3" width="14.85546875" customWidth="1"/>
    <col min="4" max="4" width="11.5703125" bestFit="1" customWidth="1"/>
    <col min="5" max="5" width="11.42578125" customWidth="1"/>
    <col min="6" max="7" width="11.5703125" bestFit="1" customWidth="1"/>
  </cols>
  <sheetData>
    <row r="1" spans="1:12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B2" s="158" t="s">
        <v>112</v>
      </c>
      <c r="C2" s="159"/>
      <c r="D2" s="159"/>
      <c r="E2" s="159"/>
      <c r="F2" s="160"/>
      <c r="G2" s="29"/>
      <c r="H2" s="29"/>
      <c r="I2" s="29"/>
      <c r="J2" s="29"/>
      <c r="K2" s="29"/>
      <c r="L2" s="29"/>
    </row>
    <row r="3" spans="1:12" s="65" customFormat="1" ht="60" x14ac:dyDescent="0.25">
      <c r="B3" s="69"/>
      <c r="C3" s="70" t="s">
        <v>50</v>
      </c>
      <c r="D3" s="70" t="s">
        <v>113</v>
      </c>
      <c r="E3" s="70" t="s">
        <v>114</v>
      </c>
      <c r="F3" s="71" t="s">
        <v>112</v>
      </c>
      <c r="G3" s="70"/>
      <c r="H3" s="70"/>
      <c r="I3" s="70"/>
      <c r="J3" s="70"/>
      <c r="K3" s="70"/>
      <c r="L3" s="70"/>
    </row>
    <row r="4" spans="1:12" ht="15" customHeight="1" x14ac:dyDescent="0.25">
      <c r="A4" s="28"/>
      <c r="B4" s="73" t="s">
        <v>49</v>
      </c>
      <c r="C4" s="169">
        <f>'Yearly Enterprise Budget'!C8/Assumptions!B9</f>
        <v>3636.3636363636365</v>
      </c>
      <c r="D4" s="35">
        <f>'Yearly Enterprise Budget'!E8*Assumptions!B9</f>
        <v>151.25</v>
      </c>
      <c r="E4" s="36">
        <f>C4/($C$4+$C$5)</f>
        <v>1</v>
      </c>
      <c r="F4" s="156">
        <f>(D4*E4)+(D5*E5)</f>
        <v>151.25</v>
      </c>
      <c r="G4" s="23"/>
      <c r="H4" s="23"/>
      <c r="I4" s="23"/>
      <c r="J4" s="23"/>
      <c r="K4" s="23"/>
      <c r="L4" s="23"/>
    </row>
    <row r="5" spans="1:12" x14ac:dyDescent="0.25">
      <c r="A5" s="28"/>
      <c r="B5" s="74" t="s">
        <v>48</v>
      </c>
      <c r="C5" s="148">
        <f>'Yearly Enterprise Budget'!C9</f>
        <v>0</v>
      </c>
      <c r="D5" s="33">
        <f>'Yearly Enterprise Budget'!E9</f>
        <v>55</v>
      </c>
      <c r="E5" s="34">
        <f>C5/($C$4+$C$5)</f>
        <v>0</v>
      </c>
      <c r="F5" s="157"/>
      <c r="G5" s="23"/>
      <c r="H5" s="23"/>
      <c r="I5" s="23"/>
      <c r="J5" s="23"/>
      <c r="K5" s="23"/>
      <c r="L5" s="23"/>
    </row>
    <row r="6" spans="1:12" x14ac:dyDescent="0.25">
      <c r="A6" s="28"/>
      <c r="B6" s="74" t="s">
        <v>54</v>
      </c>
      <c r="C6" s="149">
        <f>SUM(C4:C5)</f>
        <v>3636.3636363636365</v>
      </c>
      <c r="D6" s="37"/>
      <c r="E6" s="37"/>
      <c r="F6" s="38"/>
      <c r="G6" s="23"/>
      <c r="H6" s="23"/>
      <c r="I6" s="23"/>
      <c r="J6" s="23"/>
      <c r="K6" s="23"/>
      <c r="L6" s="23"/>
    </row>
    <row r="7" spans="1:12" x14ac:dyDescent="0.25">
      <c r="A7" s="28"/>
      <c r="B7" s="30"/>
      <c r="C7" s="32"/>
      <c r="D7" s="31"/>
      <c r="E7" s="31"/>
      <c r="F7" s="31"/>
      <c r="G7" s="23"/>
      <c r="H7" s="23"/>
      <c r="I7" s="23"/>
      <c r="J7" s="23"/>
      <c r="K7" s="23"/>
      <c r="L7" s="23"/>
    </row>
    <row r="8" spans="1:12" ht="15.75" x14ac:dyDescent="0.25">
      <c r="A8" s="28"/>
      <c r="B8" s="161" t="s">
        <v>58</v>
      </c>
      <c r="C8" s="161"/>
      <c r="D8" s="161"/>
      <c r="E8" s="161"/>
      <c r="F8" s="161"/>
      <c r="G8" s="161"/>
      <c r="H8" s="23"/>
      <c r="I8" s="23"/>
      <c r="J8" s="23"/>
      <c r="K8" s="23"/>
      <c r="L8" s="23"/>
    </row>
    <row r="9" spans="1:12" ht="15.75" thickBot="1" x14ac:dyDescent="0.3">
      <c r="A9" s="28"/>
      <c r="B9" s="30"/>
      <c r="C9" s="30"/>
      <c r="D9" s="31"/>
      <c r="E9" s="31"/>
      <c r="F9" s="31"/>
      <c r="G9" s="23"/>
      <c r="H9" s="23"/>
      <c r="I9" s="23"/>
      <c r="J9" s="23"/>
      <c r="K9" s="23"/>
      <c r="L9" s="23"/>
    </row>
    <row r="10" spans="1:12" x14ac:dyDescent="0.25">
      <c r="A10" s="48"/>
      <c r="B10" s="167"/>
      <c r="C10" s="162" t="s">
        <v>115</v>
      </c>
      <c r="D10" s="163"/>
      <c r="E10" s="163"/>
      <c r="F10" s="163"/>
      <c r="G10" s="164"/>
      <c r="H10" s="23"/>
      <c r="I10" s="23"/>
      <c r="J10" s="23"/>
      <c r="K10" s="23"/>
      <c r="L10" s="23"/>
    </row>
    <row r="11" spans="1:12" x14ac:dyDescent="0.25">
      <c r="A11" s="165" t="s">
        <v>112</v>
      </c>
      <c r="B11" s="168"/>
      <c r="C11" s="144">
        <f>D11-1000</f>
        <v>1636.3636363636365</v>
      </c>
      <c r="D11" s="144">
        <f>E11-1000</f>
        <v>2636.3636363636365</v>
      </c>
      <c r="E11" s="144">
        <f>C6</f>
        <v>3636.3636363636365</v>
      </c>
      <c r="F11" s="144">
        <f>E11+1000</f>
        <v>4636.363636363636</v>
      </c>
      <c r="G11" s="145">
        <f>F11+1000</f>
        <v>5636.363636363636</v>
      </c>
      <c r="H11" s="23"/>
      <c r="I11" s="23"/>
      <c r="J11" s="23"/>
      <c r="K11" s="23"/>
      <c r="L11" s="23"/>
    </row>
    <row r="12" spans="1:12" x14ac:dyDescent="0.25">
      <c r="A12" s="165"/>
      <c r="B12" s="146">
        <f t="shared" ref="B12:B14" si="0">B13-5</f>
        <v>131.25</v>
      </c>
      <c r="C12" s="40">
        <f>(B12*$C$11)-'Yearly Enterprise Budget'!$F$41</f>
        <v>-64119.906060606008</v>
      </c>
      <c r="D12" s="40">
        <f>(B12*$D$11)-'Yearly Enterprise Budget'!$F$41</f>
        <v>67130.093939393992</v>
      </c>
      <c r="E12" s="40">
        <f>(B12*$E$11)-'Yearly Enterprise Budget'!$F$41</f>
        <v>198380.09393939399</v>
      </c>
      <c r="F12" s="40">
        <f>(B12*$F$11)-'Yearly Enterprise Budget'!$F$41</f>
        <v>329630.09393939388</v>
      </c>
      <c r="G12" s="41">
        <f>(B12*$G$11)-'Yearly Enterprise Budget'!$F$41</f>
        <v>460880.09393939388</v>
      </c>
      <c r="H12" s="23"/>
      <c r="I12" s="23"/>
      <c r="J12" s="23"/>
      <c r="K12" s="23"/>
      <c r="L12" s="23"/>
    </row>
    <row r="13" spans="1:12" x14ac:dyDescent="0.25">
      <c r="A13" s="165"/>
      <c r="B13" s="146">
        <f t="shared" si="0"/>
        <v>136.25</v>
      </c>
      <c r="C13" s="40">
        <f>(B13*$C$11)-'Yearly Enterprise Budget'!$F$41</f>
        <v>-55938.087878787832</v>
      </c>
      <c r="D13" s="40">
        <f>(B13*$D$11)-'Yearly Enterprise Budget'!$F$41</f>
        <v>80311.912121212168</v>
      </c>
      <c r="E13" s="40">
        <f>(B13*$E$11)-'Yearly Enterprise Budget'!$F$41</f>
        <v>216561.91212121217</v>
      </c>
      <c r="F13" s="40">
        <f>(B13*$F$11)-'Yearly Enterprise Budget'!$F$41</f>
        <v>352811.91212121211</v>
      </c>
      <c r="G13" s="41">
        <f>(B13*$G$11)-'Yearly Enterprise Budget'!$F$41</f>
        <v>489061.91212121211</v>
      </c>
      <c r="H13" s="23"/>
      <c r="I13" s="23"/>
      <c r="J13" s="23"/>
      <c r="K13" s="23"/>
      <c r="L13" s="23"/>
    </row>
    <row r="14" spans="1:12" x14ac:dyDescent="0.25">
      <c r="A14" s="165"/>
      <c r="B14" s="146">
        <f t="shared" si="0"/>
        <v>141.25</v>
      </c>
      <c r="C14" s="40">
        <f>(B14*$C$11)-'Yearly Enterprise Budget'!$F$41</f>
        <v>-47756.269696969655</v>
      </c>
      <c r="D14" s="40">
        <f>(B14*$D$11)-'Yearly Enterprise Budget'!$F$41</f>
        <v>93493.730303030345</v>
      </c>
      <c r="E14" s="40">
        <f>(B14*$E$11)-'Yearly Enterprise Budget'!$F$41</f>
        <v>234743.73030303034</v>
      </c>
      <c r="F14" s="40">
        <f>(B14*$F$11)-'Yearly Enterprise Budget'!$F$41</f>
        <v>375993.73030303034</v>
      </c>
      <c r="G14" s="41">
        <f>(B14*$G$11)-'Yearly Enterprise Budget'!$F$41</f>
        <v>517243.73030303034</v>
      </c>
      <c r="H14" s="23"/>
      <c r="I14" s="23"/>
      <c r="J14" s="23"/>
      <c r="K14" s="23"/>
      <c r="L14" s="23"/>
    </row>
    <row r="15" spans="1:12" ht="15.75" thickBot="1" x14ac:dyDescent="0.3">
      <c r="A15" s="165"/>
      <c r="B15" s="146">
        <f>B16-5</f>
        <v>146.25</v>
      </c>
      <c r="C15" s="40">
        <f>(B15*$C$11)-'Yearly Enterprise Budget'!$F$41</f>
        <v>-39574.451515151479</v>
      </c>
      <c r="D15" s="40">
        <f>(B15*$D$11)-'Yearly Enterprise Budget'!$F$41</f>
        <v>106675.54848484852</v>
      </c>
      <c r="E15" s="46">
        <f>(B15*$E$11)-'Yearly Enterprise Budget'!$F$41</f>
        <v>252925.54848484858</v>
      </c>
      <c r="F15" s="40">
        <f>(B15*$F$11)-'Yearly Enterprise Budget'!$F$41</f>
        <v>399175.54848484846</v>
      </c>
      <c r="G15" s="41">
        <f>(B15*$G$11)-'Yearly Enterprise Budget'!$F$41</f>
        <v>545425.54848484846</v>
      </c>
      <c r="H15" s="23"/>
      <c r="I15" s="23"/>
      <c r="J15" s="23"/>
      <c r="K15" s="23"/>
      <c r="L15" s="23"/>
    </row>
    <row r="16" spans="1:12" ht="15.75" thickBot="1" x14ac:dyDescent="0.3">
      <c r="A16" s="165"/>
      <c r="B16" s="146">
        <f>F4</f>
        <v>151.25</v>
      </c>
      <c r="C16" s="40">
        <f>(B16*$C$11)-'Yearly Enterprise Budget'!$F$41</f>
        <v>-31392.633333333273</v>
      </c>
      <c r="D16" s="44">
        <f>(B16*$D$11)-'Yearly Enterprise Budget'!$F$41</f>
        <v>119857.3666666667</v>
      </c>
      <c r="E16" s="39">
        <f>(E11*B16)-'Yearly Enterprise Budget'!F41</f>
        <v>271107.3666666667</v>
      </c>
      <c r="F16" s="45">
        <f>(B16*$F$11)-'Yearly Enterprise Budget'!$F$41</f>
        <v>422357.3666666667</v>
      </c>
      <c r="G16" s="41">
        <f>(B16*$G$11)-'Yearly Enterprise Budget'!$F$41</f>
        <v>573607.3666666667</v>
      </c>
      <c r="H16" s="23"/>
      <c r="I16" s="23"/>
      <c r="J16" s="23"/>
      <c r="K16" s="23"/>
      <c r="L16" s="23"/>
    </row>
    <row r="17" spans="1:7" x14ac:dyDescent="0.25">
      <c r="A17" s="165"/>
      <c r="B17" s="146">
        <f>B16+5</f>
        <v>156.25</v>
      </c>
      <c r="C17" s="40">
        <f>(B17*$C$11)-'Yearly Enterprise Budget'!$F$41</f>
        <v>-23210.815151515097</v>
      </c>
      <c r="D17" s="40">
        <f>(B17*$D$11)-'Yearly Enterprise Budget'!$F$41</f>
        <v>133039.18484848487</v>
      </c>
      <c r="E17" s="47">
        <f>(B17*$E$11)-'Yearly Enterprise Budget'!$F$41</f>
        <v>289289.18484848493</v>
      </c>
      <c r="F17" s="40">
        <f>(B17*$F$11)-'Yearly Enterprise Budget'!$F$41</f>
        <v>445539.18484848482</v>
      </c>
      <c r="G17" s="41">
        <f>(B17*$G$11)-'Yearly Enterprise Budget'!$F$41</f>
        <v>601789.18484848482</v>
      </c>
    </row>
    <row r="18" spans="1:7" x14ac:dyDescent="0.25">
      <c r="A18" s="165"/>
      <c r="B18" s="146">
        <f t="shared" ref="B18:B20" si="1">B17+5</f>
        <v>161.25</v>
      </c>
      <c r="C18" s="40">
        <f>(B18*$C$11)-'Yearly Enterprise Budget'!$F$41</f>
        <v>-15028.996969696891</v>
      </c>
      <c r="D18" s="40">
        <f>(B18*$D$11)-'Yearly Enterprise Budget'!$F$41</f>
        <v>146221.00303030311</v>
      </c>
      <c r="E18" s="40">
        <f>(B18*$E$11)-'Yearly Enterprise Budget'!$F$41</f>
        <v>307471.00303030305</v>
      </c>
      <c r="F18" s="40">
        <f>(B18*$F$11)-'Yearly Enterprise Budget'!$F$41</f>
        <v>468721.00303030305</v>
      </c>
      <c r="G18" s="41">
        <f>(B18*$G$11)-'Yearly Enterprise Budget'!$F$41</f>
        <v>629971.00303030305</v>
      </c>
    </row>
    <row r="19" spans="1:7" x14ac:dyDescent="0.25">
      <c r="A19" s="165"/>
      <c r="B19" s="146">
        <f t="shared" si="1"/>
        <v>166.25</v>
      </c>
      <c r="C19" s="40">
        <f>(B19*$C$11)-'Yearly Enterprise Budget'!$F$41</f>
        <v>-6847.1787878787145</v>
      </c>
      <c r="D19" s="40">
        <f>(B19*$D$11)-'Yearly Enterprise Budget'!$F$41</f>
        <v>159402.82121212129</v>
      </c>
      <c r="E19" s="40">
        <f>(B19*$E$11)-'Yearly Enterprise Budget'!$F$41</f>
        <v>325652.82121212129</v>
      </c>
      <c r="F19" s="40">
        <f>(B19*$F$11)-'Yearly Enterprise Budget'!$F$41</f>
        <v>491902.82121212117</v>
      </c>
      <c r="G19" s="41">
        <f>(B19*$G$11)-'Yearly Enterprise Budget'!$F$41</f>
        <v>658152.82121212117</v>
      </c>
    </row>
    <row r="20" spans="1:7" ht="15.75" thickBot="1" x14ac:dyDescent="0.3">
      <c r="A20" s="166"/>
      <c r="B20" s="147">
        <f t="shared" si="1"/>
        <v>171.25</v>
      </c>
      <c r="C20" s="42">
        <f>(B20*$C$11)-'Yearly Enterprise Budget'!$F$41</f>
        <v>1334.639393939462</v>
      </c>
      <c r="D20" s="42">
        <f>(B20*$D$11)-'Yearly Enterprise Budget'!$F$41</f>
        <v>172584.63939393946</v>
      </c>
      <c r="E20" s="42">
        <f>(B20*$E$11)-'Yearly Enterprise Budget'!$F$41</f>
        <v>343834.6393939394</v>
      </c>
      <c r="F20" s="42">
        <f>(B20*$F$11)-'Yearly Enterprise Budget'!$F$41</f>
        <v>515084.6393939394</v>
      </c>
      <c r="G20" s="43">
        <f>(B20*$G$11)-'Yearly Enterprise Budget'!$F$41</f>
        <v>686334.6393939394</v>
      </c>
    </row>
    <row r="22" spans="1:7" x14ac:dyDescent="0.25">
      <c r="A22" s="6" t="s">
        <v>52</v>
      </c>
    </row>
  </sheetData>
  <mergeCells count="6">
    <mergeCell ref="F4:F5"/>
    <mergeCell ref="B2:F2"/>
    <mergeCell ref="B8:G8"/>
    <mergeCell ref="C10:G10"/>
    <mergeCell ref="A11:A20"/>
    <mergeCell ref="B10:B11"/>
  </mergeCells>
  <printOptions headings="1" gridLines="1"/>
  <pageMargins left="0.7" right="0.7" top="0.75" bottom="0.75" header="0.3" footer="0.3"/>
  <pageSetup orientation="landscape" verticalDpi="2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Assumptions</vt:lpstr>
      <vt:lpstr>Bottom Prep and Capital Cost</vt:lpstr>
      <vt:lpstr>Yearly Enterprise Budget</vt:lpstr>
      <vt:lpstr>Yearly Cash Flow Analysis</vt:lpstr>
      <vt:lpstr>Sensitivity Analysis</vt:lpstr>
      <vt:lpstr>'Yearly Enterprise Budget'!Print_Area</vt:lpstr>
    </vt:vector>
  </TitlesOfParts>
  <Company>AGNR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</dc:creator>
  <cp:lastModifiedBy>Matt Parker</cp:lastModifiedBy>
  <cp:lastPrinted>2012-11-28T14:44:04Z</cp:lastPrinted>
  <dcterms:created xsi:type="dcterms:W3CDTF">2011-05-19T12:50:34Z</dcterms:created>
  <dcterms:modified xsi:type="dcterms:W3CDTF">2016-12-13T14:22:43Z</dcterms:modified>
</cp:coreProperties>
</file>